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MANS\Desktop\"/>
    </mc:Choice>
  </mc:AlternateContent>
  <xr:revisionPtr revIDLastSave="0" documentId="13_ncr:1_{C0D75E2F-00B1-4527-8AC4-4D170378EEAC}" xr6:coauthVersionLast="45" xr6:coauthVersionMax="45" xr10:uidLastSave="{00000000-0000-0000-0000-000000000000}"/>
  <bookViews>
    <workbookView xWindow="-8580" yWindow="-19950" windowWidth="24750" windowHeight="19185" xr2:uid="{00000000-000D-0000-FFFF-FFFF00000000}"/>
  </bookViews>
  <sheets>
    <sheet name="Introduction" sheetId="18" r:id="rId1"/>
    <sheet name="GG Op. State. Aggreg." sheetId="2" r:id="rId2"/>
    <sheet name="GG Balance Sheet Fin Indicators" sheetId="3" r:id="rId3"/>
    <sheet name="NFPS Op. State. Aggreg." sheetId="16" r:id="rId4"/>
    <sheet name="NFPS Bal. Sheet. Fin Ind" sheetId="17" r:id="rId5"/>
    <sheet name="Sheet2" sheetId="8" state="hidden" r:id="rId6"/>
    <sheet name="Moody's Metric" sheetId="14" state="hidden" r:id="rId7"/>
    <sheet name="S&amp;P Metrics" sheetId="15" state="hidden" r:id="rId8"/>
  </sheets>
  <externalReferences>
    <externalReference r:id="rId9"/>
    <externalReference r:id="rId10"/>
    <externalReference r:id="rId11"/>
  </externalReferences>
  <definedNames>
    <definedName name="_2003_04">#REF!</definedName>
    <definedName name="AccrualAgg">#REF!</definedName>
    <definedName name="Cash_aggregates">#REF!</definedName>
    <definedName name="csDesignMode">1</definedName>
    <definedName name="DiscProvServ">#REF!</definedName>
    <definedName name="GGAccAgg">#REF!</definedName>
    <definedName name="GGCashAgg">#REF!</definedName>
    <definedName name="Hist_1">#REF!</definedName>
    <definedName name="Hist_2">#REF!</definedName>
    <definedName name="Hist_3">#REF!</definedName>
    <definedName name="Hist_4">#REF!</definedName>
    <definedName name="Hist_5">#REF!</definedName>
    <definedName name="Hist_6">#REF!</definedName>
    <definedName name="Hist_7">#REF!</definedName>
    <definedName name="Hist_8">#REF!</definedName>
    <definedName name="historical_cflow_1">#REF!</definedName>
    <definedName name="historical_cflow_2">#REF!</definedName>
    <definedName name="historical_cflow_3">#REF!</definedName>
    <definedName name="historical_cflow_4">#REF!</definedName>
    <definedName name="historical_cflow_5">#REF!</definedName>
    <definedName name="historical_cflow_6">#REF!</definedName>
    <definedName name="historical_cflow_7">#REF!</definedName>
    <definedName name="operating4">'[1]Operating Statement General Gov'!#REF!</definedName>
    <definedName name="_xlnm.Print_Area" localSheetId="0">Introduction!$A$1:$A$8</definedName>
    <definedName name="_xlnm.Print_Area" localSheetId="6">'Moody''s Metric'!$A$1:$M$46</definedName>
    <definedName name="_xlnm.Print_Area" localSheetId="7">'S&amp;P Metrics'!$A$1:$W$28</definedName>
    <definedName name="table_transactions">#REF!</definedName>
    <definedName name="wrn.private." hidden="1">{#N/A,#N/A,FALSE,"Privatisation data"}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3" i="15" l="1"/>
  <c r="N23" i="15"/>
  <c r="M23" i="15"/>
  <c r="L23" i="15"/>
  <c r="K23" i="15"/>
  <c r="J23" i="15"/>
  <c r="H23" i="15"/>
  <c r="D23" i="15"/>
  <c r="T22" i="15"/>
  <c r="T23" i="15" s="1"/>
  <c r="S22" i="15"/>
  <c r="N22" i="15"/>
  <c r="M22" i="15"/>
  <c r="P22" i="15" s="1"/>
  <c r="L22" i="15"/>
  <c r="K22" i="15"/>
  <c r="J22" i="15"/>
  <c r="H22" i="15"/>
  <c r="I22" i="15" s="1"/>
  <c r="D22" i="15"/>
  <c r="T21" i="15"/>
  <c r="S21" i="15"/>
  <c r="N21" i="15"/>
  <c r="M21" i="15"/>
  <c r="L21" i="15"/>
  <c r="K21" i="15"/>
  <c r="J21" i="15"/>
  <c r="H21" i="15"/>
  <c r="I21" i="15" s="1"/>
  <c r="D21" i="15"/>
  <c r="F21" i="15" s="1"/>
  <c r="G21" i="15" s="1"/>
  <c r="T20" i="15"/>
  <c r="S20" i="15"/>
  <c r="N20" i="15"/>
  <c r="M20" i="15"/>
  <c r="L20" i="15"/>
  <c r="K20" i="15"/>
  <c r="J20" i="15"/>
  <c r="H20" i="15"/>
  <c r="D20" i="15"/>
  <c r="F20" i="15" s="1"/>
  <c r="G20" i="15" s="1"/>
  <c r="T19" i="15"/>
  <c r="S19" i="15"/>
  <c r="N19" i="15"/>
  <c r="M19" i="15"/>
  <c r="L19" i="15"/>
  <c r="O19" i="15" s="1"/>
  <c r="K19" i="15"/>
  <c r="J19" i="15"/>
  <c r="H19" i="15"/>
  <c r="D19" i="15"/>
  <c r="E19" i="15" s="1"/>
  <c r="V17" i="15"/>
  <c r="T17" i="15"/>
  <c r="I17" i="15" s="1"/>
  <c r="S17" i="15"/>
  <c r="P17" i="15"/>
  <c r="O17" i="15"/>
  <c r="F17" i="15"/>
  <c r="V16" i="15"/>
  <c r="T16" i="15"/>
  <c r="I16" i="15" s="1"/>
  <c r="S16" i="15"/>
  <c r="P16" i="15"/>
  <c r="O16" i="15"/>
  <c r="F16" i="15"/>
  <c r="V15" i="15"/>
  <c r="T15" i="15"/>
  <c r="E15" i="15" s="1"/>
  <c r="S15" i="15"/>
  <c r="P15" i="15"/>
  <c r="O15" i="15"/>
  <c r="F15" i="15"/>
  <c r="V14" i="15"/>
  <c r="T14" i="15"/>
  <c r="E14" i="15" s="1"/>
  <c r="S14" i="15"/>
  <c r="P14" i="15"/>
  <c r="O14" i="15"/>
  <c r="F14" i="15"/>
  <c r="V13" i="15"/>
  <c r="T13" i="15"/>
  <c r="E13" i="15" s="1"/>
  <c r="S13" i="15"/>
  <c r="P13" i="15"/>
  <c r="O13" i="15"/>
  <c r="F13" i="15"/>
  <c r="V12" i="15"/>
  <c r="T12" i="15"/>
  <c r="E12" i="15" s="1"/>
  <c r="S12" i="15"/>
  <c r="P12" i="15"/>
  <c r="O12" i="15"/>
  <c r="F12" i="15"/>
  <c r="C2" i="15"/>
  <c r="J1" i="15"/>
  <c r="I15" i="15"/>
  <c r="P23" i="15"/>
  <c r="F22" i="15"/>
  <c r="G22" i="15" s="1"/>
  <c r="N43" i="14"/>
  <c r="M43" i="14"/>
  <c r="L43" i="14"/>
  <c r="K43" i="14"/>
  <c r="J43" i="14"/>
  <c r="H39" i="14"/>
  <c r="H41" i="14" s="1"/>
  <c r="H45" i="14" s="1"/>
  <c r="G39" i="14"/>
  <c r="G41" i="14" s="1"/>
  <c r="G45" i="14" s="1"/>
  <c r="F39" i="14"/>
  <c r="F41" i="14" s="1"/>
  <c r="F45" i="14" s="1"/>
  <c r="E39" i="14"/>
  <c r="E41" i="14" s="1"/>
  <c r="E45" i="14" s="1"/>
  <c r="D39" i="14"/>
  <c r="D41" i="14" s="1"/>
  <c r="D45" i="14" s="1"/>
  <c r="C39" i="14"/>
  <c r="C41" i="14" s="1"/>
  <c r="C45" i="14" s="1"/>
  <c r="N37" i="14"/>
  <c r="M37" i="14"/>
  <c r="L37" i="14"/>
  <c r="K37" i="14"/>
  <c r="J37" i="14"/>
  <c r="N36" i="14"/>
  <c r="M36" i="14"/>
  <c r="L36" i="14"/>
  <c r="K36" i="14"/>
  <c r="J36" i="14"/>
  <c r="N35" i="14"/>
  <c r="M35" i="14"/>
  <c r="L35" i="14"/>
  <c r="K35" i="14"/>
  <c r="J35" i="14"/>
  <c r="N34" i="14"/>
  <c r="M34" i="14"/>
  <c r="L34" i="14"/>
  <c r="K34" i="14"/>
  <c r="J34" i="14"/>
  <c r="N33" i="14"/>
  <c r="M33" i="14"/>
  <c r="L33" i="14"/>
  <c r="K33" i="14"/>
  <c r="J33" i="14"/>
  <c r="N32" i="14"/>
  <c r="M32" i="14"/>
  <c r="L32" i="14"/>
  <c r="K32" i="14"/>
  <c r="J32" i="14"/>
  <c r="N31" i="14"/>
  <c r="M31" i="14"/>
  <c r="L31" i="14"/>
  <c r="K31" i="14"/>
  <c r="J31" i="14"/>
  <c r="N30" i="14"/>
  <c r="M30" i="14"/>
  <c r="L30" i="14"/>
  <c r="K30" i="14"/>
  <c r="J30" i="14"/>
  <c r="N29" i="14"/>
  <c r="M29" i="14"/>
  <c r="L29" i="14"/>
  <c r="K29" i="14"/>
  <c r="J29" i="14"/>
  <c r="N28" i="14"/>
  <c r="M28" i="14"/>
  <c r="L28" i="14"/>
  <c r="K28" i="14"/>
  <c r="J28" i="14"/>
  <c r="N27" i="14"/>
  <c r="M27" i="14"/>
  <c r="L27" i="14"/>
  <c r="K27" i="14"/>
  <c r="J27" i="14"/>
  <c r="N26" i="14"/>
  <c r="N39" i="14" s="1"/>
  <c r="M26" i="14"/>
  <c r="L26" i="14"/>
  <c r="K26" i="14"/>
  <c r="J26" i="14"/>
  <c r="N25" i="14"/>
  <c r="M25" i="14"/>
  <c r="L25" i="14"/>
  <c r="K25" i="14"/>
  <c r="J25" i="14"/>
  <c r="N24" i="14"/>
  <c r="M24" i="14"/>
  <c r="M39" i="14" s="1"/>
  <c r="L24" i="14"/>
  <c r="K24" i="14"/>
  <c r="J24" i="14"/>
  <c r="N21" i="14"/>
  <c r="M21" i="14"/>
  <c r="L21" i="14"/>
  <c r="K21" i="14"/>
  <c r="J21" i="14"/>
  <c r="P43" i="14"/>
  <c r="D7" i="8"/>
  <c r="D8" i="8"/>
  <c r="D6" i="8"/>
  <c r="L39" i="14" l="1"/>
  <c r="L41" i="14" s="1"/>
  <c r="L45" i="14" s="1"/>
  <c r="F19" i="15"/>
  <c r="G19" i="15" s="1"/>
  <c r="E17" i="15"/>
  <c r="O20" i="15"/>
  <c r="P21" i="15"/>
  <c r="O22" i="15"/>
  <c r="I19" i="15"/>
  <c r="G14" i="15"/>
  <c r="G13" i="15"/>
  <c r="I14" i="15"/>
  <c r="G12" i="15"/>
  <c r="I13" i="15"/>
  <c r="I12" i="15"/>
  <c r="O23" i="15"/>
  <c r="E16" i="15"/>
  <c r="P20" i="15"/>
  <c r="O21" i="15"/>
  <c r="I20" i="15"/>
  <c r="V21" i="15"/>
  <c r="P19" i="15"/>
  <c r="I23" i="15"/>
  <c r="V22" i="15"/>
  <c r="E23" i="15"/>
  <c r="E20" i="15"/>
  <c r="G17" i="15"/>
  <c r="G16" i="15"/>
  <c r="V19" i="15"/>
  <c r="E22" i="15"/>
  <c r="G15" i="15"/>
  <c r="K39" i="14"/>
  <c r="K41" i="14" s="1"/>
  <c r="K45" i="14" s="1"/>
  <c r="M41" i="14"/>
  <c r="M45" i="14" s="1"/>
  <c r="N41" i="14"/>
  <c r="J39" i="14"/>
  <c r="J41" i="14" s="1"/>
  <c r="J45" i="14" s="1"/>
  <c r="E21" i="15"/>
  <c r="V20" i="15"/>
  <c r="P41" i="14" l="1"/>
  <c r="N45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Fung</author>
  </authors>
  <commentList>
    <comment ref="B37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Wendy Fung:</t>
        </r>
        <r>
          <rPr>
            <sz val="9"/>
            <color indexed="81"/>
            <rFont val="Tahoma"/>
            <family val="2"/>
          </rPr>
          <t xml:space="preserve">
WaterNSW only came into existence from Dec 2014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Fung</author>
    <author>Karen Sanderson</author>
    <author>Anita Young</author>
  </authors>
  <commentList>
    <comment ref="Q5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Wendy Fung:</t>
        </r>
        <r>
          <rPr>
            <sz val="9"/>
            <color indexed="81"/>
            <rFont val="Tahoma"/>
            <family val="2"/>
          </rPr>
          <t xml:space="preserve">
Reminder to relink to each updated Moodys report and double check GGS total revenues.</t>
        </r>
      </text>
    </comment>
    <comment ref="T18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 xml:space="preserve">Anita Young:
</t>
        </r>
        <r>
          <rPr>
            <sz val="9"/>
            <color indexed="81"/>
            <rFont val="Tahoma"/>
            <family val="2"/>
          </rPr>
          <t xml:space="preserve">Budget 2015-16 figure as actual is not yet released.
</t>
        </r>
      </text>
    </comment>
    <comment ref="T23" authorId="2" shapeId="0" xr:uid="{00000000-0006-0000-0800-000003000000}">
      <text>
        <r>
          <rPr>
            <b/>
            <sz val="9"/>
            <color indexed="81"/>
            <rFont val="Tahoma"/>
            <family val="2"/>
          </rPr>
          <t>Anita Young:</t>
        </r>
        <r>
          <rPr>
            <sz val="9"/>
            <color indexed="81"/>
            <rFont val="Tahoma"/>
            <family val="2"/>
          </rPr>
          <t xml:space="preserve">
Not yet received GSP for 2021 and thus, used same number as 2020 for now,</t>
        </r>
      </text>
    </comment>
  </commentList>
</comments>
</file>

<file path=xl/sharedStrings.xml><?xml version="1.0" encoding="utf-8"?>
<sst xmlns="http://schemas.openxmlformats.org/spreadsheetml/2006/main" count="473" uniqueCount="202">
  <si>
    <t>2018-19</t>
  </si>
  <si>
    <t>Actual</t>
  </si>
  <si>
    <t>Revenue</t>
  </si>
  <si>
    <t>Expenses</t>
  </si>
  <si>
    <t>Net Debt</t>
  </si>
  <si>
    <t>Value</t>
  </si>
  <si>
    <t>Total State</t>
  </si>
  <si>
    <t>Taxation Revenue</t>
  </si>
  <si>
    <t>Total Revenue</t>
  </si>
  <si>
    <t>Net Operating Balance</t>
  </si>
  <si>
    <t>Net Lending/ (Borrowing)</t>
  </si>
  <si>
    <r>
      <t>GSP</t>
    </r>
    <r>
      <rPr>
        <b/>
        <vertAlign val="superscript"/>
        <sz val="9"/>
        <color theme="0"/>
        <rFont val="Arial"/>
        <family val="2"/>
      </rPr>
      <t>(d)</t>
    </r>
    <r>
      <rPr>
        <b/>
        <sz val="8"/>
        <color theme="0"/>
        <rFont val="Arial"/>
        <family val="2"/>
      </rPr>
      <t xml:space="preserve"> (current prices)</t>
    </r>
  </si>
  <si>
    <t>$m</t>
  </si>
  <si>
    <t>Per cent of GSP</t>
  </si>
  <si>
    <t>Per cent growth - nominal</t>
  </si>
  <si>
    <t>1996-97</t>
  </si>
  <si>
    <t>n.a.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</si>
  <si>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</si>
  <si>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</si>
  <si>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</si>
  <si>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</si>
  <si>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</si>
  <si>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</si>
  <si>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</si>
  <si>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</si>
  <si>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</si>
  <si>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</si>
  <si>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</si>
  <si>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</si>
  <si>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</si>
  <si>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</si>
  <si>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</si>
  <si>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</si>
  <si>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</si>
  <si>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</si>
  <si>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</si>
  <si>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r>
      <t>2021-22</t>
    </r>
    <r>
      <rPr>
        <vertAlign val="superscript"/>
        <sz val="8"/>
        <rFont val="Arial"/>
        <family val="2"/>
      </rPr>
      <t>(c)</t>
    </r>
  </si>
  <si>
    <t>Interest Expense</t>
  </si>
  <si>
    <t>Per cent of revenue</t>
  </si>
  <si>
    <t>newR = currentR + (255 - currentR) * tint_factor</t>
  </si>
  <si>
    <t>newG = currentG + (255 - currentG) * tint_factor</t>
  </si>
  <si>
    <t>newB = currentB + (255 - currentB) * tint_factor</t>
  </si>
  <si>
    <t>Colour</t>
  </si>
  <si>
    <t>Tint Factor</t>
  </si>
  <si>
    <t>New Value</t>
  </si>
  <si>
    <t>R</t>
  </si>
  <si>
    <t>G</t>
  </si>
  <si>
    <t>B</t>
  </si>
  <si>
    <t>Moodies Commerical Debt Summary:</t>
  </si>
  <si>
    <t>Instructions!C13</t>
  </si>
  <si>
    <t>Prior period numbers anchored to June 2016 Final Version from KS</t>
  </si>
  <si>
    <t xml:space="preserve">    2009-10</t>
  </si>
  <si>
    <t xml:space="preserve">    2010-11</t>
  </si>
  <si>
    <t xml:space="preserve">    2011-12</t>
  </si>
  <si>
    <t xml:space="preserve">    2012-13</t>
  </si>
  <si>
    <t xml:space="preserve">    2013-14</t>
  </si>
  <si>
    <t xml:space="preserve">    2014-15</t>
  </si>
  <si>
    <t xml:space="preserve">    2015-16</t>
  </si>
  <si>
    <t xml:space="preserve">    2016-17</t>
  </si>
  <si>
    <t xml:space="preserve">    2017-18</t>
  </si>
  <si>
    <t>2019-20</t>
  </si>
  <si>
    <t>2020-21</t>
  </si>
  <si>
    <t>Agency</t>
  </si>
  <si>
    <t xml:space="preserve">      $m</t>
  </si>
  <si>
    <t xml:space="preserve">    Actual</t>
  </si>
  <si>
    <t>Projection</t>
  </si>
  <si>
    <t xml:space="preserve">   Estimate</t>
  </si>
  <si>
    <t>Report on TSS Debt at amortised cost for Moodies</t>
  </si>
  <si>
    <t>Run eliminated for TSS Total, then run 'uneliminated' 'agency summary'</t>
  </si>
  <si>
    <t xml:space="preserve">  to remove the commercial PTES (elect/water/ports) debt.</t>
  </si>
  <si>
    <t xml:space="preserve">  This report excludes derivatives and deposits, which are not 'debt</t>
  </si>
  <si>
    <t xml:space="preserve">  instruments for the purpose of Moodies.</t>
  </si>
  <si>
    <t xml:space="preserve">  (Also, GG Total Revenues is found in separate Budget Op.Stmt)</t>
  </si>
  <si>
    <t>ZFINS NAME: MOODIES   Type 40 for TSS</t>
  </si>
  <si>
    <t>Total Debt (per Moodies defn.excludes MV adj, int.ac.&amp;derivs/deposits)</t>
  </si>
  <si>
    <t>Adj. Total State Debt (at am.cost) from Separate Eliminated Report</t>
  </si>
  <si>
    <t>Uneliminated Commercial Debt at Amortised Cost</t>
  </si>
  <si>
    <t xml:space="preserve">         00612 Ausgrid</t>
  </si>
  <si>
    <t xml:space="preserve">         00618 Hunter Water Corporation</t>
  </si>
  <si>
    <t xml:space="preserve">         00619 Endeavour Energy</t>
  </si>
  <si>
    <t xml:space="preserve">         00621 Macquarie Generation</t>
  </si>
  <si>
    <t>-</t>
  </si>
  <si>
    <t xml:space="preserve">         00625 Newcastle Port Corporation</t>
  </si>
  <si>
    <t xml:space="preserve">         00627 Essential Energy</t>
  </si>
  <si>
    <t xml:space="preserve">         00630 Port Kembla Port Corporation</t>
  </si>
  <si>
    <t xml:space="preserve">         00640 Sydney Ports Corporation</t>
  </si>
  <si>
    <t xml:space="preserve">         00641 Sydney Water Corporation</t>
  </si>
  <si>
    <t xml:space="preserve">         00644 TransGrid</t>
  </si>
  <si>
    <t xml:space="preserve">         00648 Delta Electricity</t>
  </si>
  <si>
    <t xml:space="preserve">         00651 Sydney Catchment Authority</t>
  </si>
  <si>
    <t xml:space="preserve">         00652 Eraring Energy</t>
  </si>
  <si>
    <t xml:space="preserve">         00659 Water NSW</t>
  </si>
  <si>
    <t>Non-Commercial Debt (at amortised Cost) for Moodies</t>
  </si>
  <si>
    <t>Total Revenue from Transactions</t>
  </si>
  <si>
    <t>GG Total Revenues</t>
  </si>
  <si>
    <t>Non-Commercial Debt as % of Total GG Revenues</t>
  </si>
  <si>
    <t>BALANCE SHEET FINANCIAL INDICATORS</t>
  </si>
  <si>
    <t>TOTAL STATE SECTOR ---&gt;</t>
  </si>
  <si>
    <t xml:space="preserve">S&amp;P RATIO </t>
  </si>
  <si>
    <t xml:space="preserve">     MOODY'S RATIO </t>
  </si>
  <si>
    <t>OTHER INFO</t>
  </si>
  <si>
    <t>NFPS</t>
  </si>
  <si>
    <t>TSS</t>
  </si>
  <si>
    <t>GGS</t>
  </si>
  <si>
    <t>GG &amp; Total State</t>
  </si>
  <si>
    <t>Underlying Net Debt</t>
  </si>
  <si>
    <t>Insurance</t>
  </si>
  <si>
    <t xml:space="preserve">Total  </t>
  </si>
  <si>
    <t>Gross Debt/</t>
  </si>
  <si>
    <t>Interest Paid/</t>
  </si>
  <si>
    <t>Non</t>
  </si>
  <si>
    <t>NonCommercial</t>
  </si>
  <si>
    <t>GSP for y/e 30 June</t>
  </si>
  <si>
    <t>Impact on Net Debt</t>
  </si>
  <si>
    <t>Comments</t>
  </si>
  <si>
    <t>As at 30</t>
  </si>
  <si>
    <t>(excl.Ppmt/Deferral</t>
  </si>
  <si>
    <t>(excl. Ppmt/Deferral</t>
  </si>
  <si>
    <t>Net FinLiab</t>
  </si>
  <si>
    <r>
      <t>Net</t>
    </r>
    <r>
      <rPr>
        <b/>
        <sz val="10"/>
        <rFont val="Arial"/>
        <family val="2"/>
      </rPr>
      <t xml:space="preserve"> Unfunded</t>
    </r>
  </si>
  <si>
    <t>Outstanding Claim</t>
  </si>
  <si>
    <t>Operating</t>
  </si>
  <si>
    <t xml:space="preserve">Interest </t>
  </si>
  <si>
    <t>Receipts</t>
  </si>
  <si>
    <t>Commercial</t>
  </si>
  <si>
    <t>Total</t>
  </si>
  <si>
    <t>Debt as % of</t>
  </si>
  <si>
    <t>(NSW,Curr.Pri)</t>
  </si>
  <si>
    <t>of Ppmt/Deferral</t>
  </si>
  <si>
    <t>Other Liabs</t>
  </si>
  <si>
    <t>June</t>
  </si>
  <si>
    <t>of Supern Contribn)</t>
  </si>
  <si>
    <t>Supern</t>
  </si>
  <si>
    <t>Liabilities (exc.Wcomp)</t>
  </si>
  <si>
    <t>Gross Debt</t>
  </si>
  <si>
    <t>Paid</t>
  </si>
  <si>
    <t>Ratio</t>
  </si>
  <si>
    <t>Debt issued</t>
  </si>
  <si>
    <t>Revenues</t>
  </si>
  <si>
    <t>GG Revenue</t>
  </si>
  <si>
    <t>source</t>
  </si>
  <si>
    <t>of Supern Contribn</t>
  </si>
  <si>
    <t>derived</t>
  </si>
  <si>
    <t>(2)</t>
  </si>
  <si>
    <t>(3)</t>
  </si>
  <si>
    <t>Michael Gadiel and Ben Fitzgerald</t>
  </si>
  <si>
    <t>for (3)</t>
  </si>
  <si>
    <t>=NFL-ND-Supern</t>
  </si>
  <si>
    <t>Note - Prior year GSP has been updated for lastest published GSP</t>
  </si>
  <si>
    <t>% of GSP</t>
  </si>
  <si>
    <t>%</t>
  </si>
  <si>
    <t>See GSP Tab</t>
  </si>
  <si>
    <t>Outcomes as advised by Ben Fitzgerald - see GSP tab</t>
  </si>
  <si>
    <t>Actuals</t>
  </si>
  <si>
    <t>Restated Actuals</t>
  </si>
  <si>
    <t>Actuals (Period 12, 2014)</t>
  </si>
  <si>
    <t>Actuals (Period 12, 2015)</t>
  </si>
  <si>
    <t>Actuals (Period 12, 2016)</t>
  </si>
  <si>
    <t>Budget Estimate</t>
  </si>
  <si>
    <t>(*) Net Debt</t>
  </si>
  <si>
    <t>Net Financial Liabilities(=Total Liabs-Total Fin.Assets+ EquityinOPSE)</t>
  </si>
  <si>
    <t>Superannuation Provision</t>
  </si>
  <si>
    <t>Total Insurance - Outstanding Claims</t>
  </si>
  <si>
    <t>Deposits Held (*)</t>
  </si>
  <si>
    <t xml:space="preserve">  Total Operating Receipts</t>
  </si>
  <si>
    <t xml:space="preserve">     Interest paid</t>
  </si>
  <si>
    <t>Borrowings and Derivatives at Fair Value (*)</t>
  </si>
  <si>
    <t>Borrowings at Amortised Cost (*)</t>
  </si>
  <si>
    <t>Advances Received(*)</t>
  </si>
  <si>
    <t>2016-17</t>
  </si>
  <si>
    <r>
      <t>2022-23</t>
    </r>
    <r>
      <rPr>
        <vertAlign val="superscript"/>
        <sz val="8"/>
        <rFont val="Arial"/>
        <family val="2"/>
      </rPr>
      <t>(c)</t>
    </r>
  </si>
  <si>
    <t>Capital Expenditure</t>
  </si>
  <si>
    <r>
      <t>Capital Expenditure</t>
    </r>
    <r>
      <rPr>
        <vertAlign val="superscript"/>
        <sz val="8"/>
        <color theme="0"/>
        <rFont val="Arial"/>
        <family val="2"/>
      </rPr>
      <t>(d)</t>
    </r>
  </si>
  <si>
    <r>
      <t>Borrowings</t>
    </r>
    <r>
      <rPr>
        <vertAlign val="superscript"/>
        <sz val="9"/>
        <color theme="0"/>
        <rFont val="Arial"/>
        <family val="2"/>
      </rPr>
      <t>(d)</t>
    </r>
  </si>
  <si>
    <r>
      <t>Net Debt</t>
    </r>
    <r>
      <rPr>
        <vertAlign val="superscript"/>
        <sz val="9"/>
        <color theme="0"/>
        <rFont val="Arial"/>
        <family val="2"/>
      </rPr>
      <t>(e)</t>
    </r>
  </si>
  <si>
    <r>
      <t>Net Financial Liabilities</t>
    </r>
    <r>
      <rPr>
        <vertAlign val="superscript"/>
        <sz val="9"/>
        <color theme="0"/>
        <rFont val="Arial"/>
        <family val="2"/>
      </rPr>
      <t>(f)</t>
    </r>
  </si>
  <si>
    <r>
      <t>2023-24</t>
    </r>
    <r>
      <rPr>
        <vertAlign val="superscript"/>
        <sz val="8"/>
        <rFont val="Arial"/>
        <family val="2"/>
      </rPr>
      <t>(c)</t>
    </r>
  </si>
  <si>
    <t>2017-18</t>
  </si>
  <si>
    <r>
      <t>2023-24</t>
    </r>
    <r>
      <rPr>
        <vertAlign val="superscript"/>
        <sz val="8"/>
        <color theme="1"/>
        <rFont val="Arial"/>
        <family val="2"/>
      </rPr>
      <t>(c)</t>
    </r>
  </si>
  <si>
    <r>
      <t>GSP</t>
    </r>
    <r>
      <rPr>
        <vertAlign val="superscript"/>
        <sz val="9"/>
        <color theme="0"/>
        <rFont val="Arial"/>
        <family val="2"/>
      </rPr>
      <t>(e)</t>
    </r>
    <r>
      <rPr>
        <sz val="8"/>
        <color theme="0"/>
        <rFont val="Arial"/>
        <family val="2"/>
      </rPr>
      <t xml:space="preserve"> (current prices)</t>
    </r>
  </si>
  <si>
    <r>
      <t>2024-25</t>
    </r>
    <r>
      <rPr>
        <vertAlign val="superscript"/>
        <sz val="8"/>
        <rFont val="Arial"/>
        <family val="2"/>
      </rPr>
      <t>(c)</t>
    </r>
  </si>
  <si>
    <r>
      <t>2019-20</t>
    </r>
    <r>
      <rPr>
        <vertAlign val="superscript"/>
        <sz val="8"/>
        <rFont val="Arial"/>
        <family val="2"/>
      </rPr>
      <t>(a)</t>
    </r>
  </si>
  <si>
    <r>
      <t>2020-21</t>
    </r>
    <r>
      <rPr>
        <vertAlign val="superscript"/>
        <sz val="8"/>
        <rFont val="Arial"/>
        <family val="2"/>
      </rPr>
      <t>(b)</t>
    </r>
  </si>
  <si>
    <r>
      <t>2024-25</t>
    </r>
    <r>
      <rPr>
        <vertAlign val="superscript"/>
        <sz val="8"/>
        <color theme="1"/>
        <rFont val="Arial"/>
        <family val="2"/>
      </rPr>
      <t>(c)</t>
    </r>
  </si>
  <si>
    <t>HISTORICAL FISCAL INDICATORS</t>
  </si>
  <si>
    <t>Published: 22 June 2021</t>
  </si>
  <si>
    <t>Notes:</t>
  </si>
  <si>
    <t>(a) Actual.</t>
  </si>
  <si>
    <t>(b) Revised.</t>
  </si>
  <si>
    <t>(c) Forecast Estimate.</t>
  </si>
  <si>
    <t>(d) Gross State Product.</t>
  </si>
  <si>
    <t>(d) Includes borrowings and derivatives at fair value and borrowings at amortised cost.</t>
  </si>
  <si>
    <t xml:space="preserve">(e) Net debt consists of the sum of deposits held, advances received, loans and other borrowings less the sum of cash and deposits, advances paid and investments, loans and placements. </t>
  </si>
  <si>
    <t>(f) Net financial liabilities equal total liabilities less financial assets, excluding equity in other public sector entities.</t>
  </si>
  <si>
    <t>(d) Before 2011-12 Capital Expenditure is reported as purchases of non-financial assets plus non-financial assets acquired using finance leases. Post 2011-12 Net Capital Expenditure is used.</t>
  </si>
  <si>
    <t>(e) Gross State Product.</t>
  </si>
  <si>
    <t>(f) Net financial liabilities equal total liabilities less financial assets, excluding equity in other public sector entities. Before 2004-05, only net financial worth is reported for the Non-Financial Public Sector.</t>
  </si>
  <si>
    <t>General Government Sector Operating Statement Aggregates</t>
  </si>
  <si>
    <t>General Government Sector Balance Sheet and Financing Indicators</t>
  </si>
  <si>
    <t>Non-Financial Public Sector Operating Statement Aggregates</t>
  </si>
  <si>
    <t>Non-Financial Public Sector Balance Sheet and Financing Indicators</t>
  </si>
  <si>
    <r>
      <t xml:space="preserve">This spreadsheet reports the key fiscal indicators for the general government and non financial public sector from 1996-97. It contains data prepared for the 2021-22 NSW Budget. For further details please see Budget Paper No. 1 </t>
    </r>
    <r>
      <rPr>
        <i/>
        <sz val="11"/>
        <rFont val="Calibri"/>
        <family val="2"/>
      </rPr>
      <t>Budget Statement</t>
    </r>
    <r>
      <rPr>
        <sz val="11"/>
        <rFont val="Calibri"/>
        <family val="2"/>
      </rPr>
      <t>, Appendix D, available at https://www.budget.nsw.gov.au/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</si>
</sst>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;\(#,##0\)"/>
    <numFmt numFmtId="165" formatCode="#,##0.0;\(#,##0.0\)"/>
    <numFmt numFmtId="166" formatCode="_-* #,##0.000_-;\-* #,##0.000_-;_-* &quot;-&quot;??_-;_-@_-"/>
    <numFmt numFmtId="167" formatCode="_-* #,##0_-;\-* #,##0_-;_-* &quot;-&quot;??_-;_-@_-"/>
    <numFmt numFmtId="168" formatCode="0.0%"/>
    <numFmt numFmtId="169" formatCode="_-* #,##0.0_-;\-* #,##0.0_-;_-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5"/>
      <color theme="3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color indexed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color rgb="FFFF0000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vertAlign val="superscript"/>
      <sz val="9"/>
      <color theme="0"/>
      <name val="Arial"/>
      <family val="2"/>
    </font>
    <font>
      <vertAlign val="superscript"/>
      <sz val="8"/>
      <color theme="0"/>
      <name val="Arial"/>
      <family val="2"/>
    </font>
    <font>
      <vertAlign val="superscript"/>
      <sz val="9"/>
      <color theme="0"/>
      <name val="Arial"/>
      <family val="2"/>
    </font>
    <font>
      <sz val="8"/>
      <name val="Calibri"/>
      <family val="2"/>
      <scheme val="minor"/>
    </font>
    <font>
      <sz val="11"/>
      <name val="Times New Roman"/>
      <family val="1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1D3B78"/>
        <bgColor indexed="64"/>
      </patternFill>
    </fill>
    <fill>
      <patternFill patternType="solid">
        <fgColor rgb="FF0579B9"/>
        <bgColor indexed="64"/>
      </patternFill>
    </fill>
    <fill>
      <patternFill patternType="solid">
        <fgColor rgb="FFABA8A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EBA"/>
        <bgColor indexed="64"/>
      </patternFill>
    </fill>
    <fill>
      <patternFill patternType="solid">
        <fgColor rgb="FF00426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double">
        <color indexed="64"/>
      </left>
      <right/>
      <top/>
      <bottom style="dotted">
        <color auto="1"/>
      </bottom>
      <diagonal/>
    </border>
    <border>
      <left/>
      <right style="double">
        <color indexed="64"/>
      </right>
      <top/>
      <bottom style="dotted">
        <color auto="1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43" fontId="1" fillId="0" borderId="0" applyFont="0" applyFill="0" applyBorder="0" applyAlignment="0" applyProtection="0"/>
    <xf numFmtId="0" fontId="8" fillId="0" borderId="1" applyNumberFormat="0" applyFill="0" applyAlignment="0" applyProtection="0"/>
    <xf numFmtId="0" fontId="9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5" borderId="2" applyNumberFormat="0" applyFont="0" applyAlignment="0" applyProtection="0"/>
    <xf numFmtId="0" fontId="26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0" fontId="1" fillId="5" borderId="2" applyNumberFormat="0" applyFont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34" fillId="0" borderId="0"/>
  </cellStyleXfs>
  <cellXfs count="20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0" fillId="4" borderId="0" xfId="0" applyFill="1"/>
    <xf numFmtId="166" fontId="2" fillId="0" borderId="0" xfId="0" applyNumberFormat="1" applyFont="1"/>
    <xf numFmtId="0" fontId="6" fillId="0" borderId="0" xfId="0" applyFont="1"/>
    <xf numFmtId="167" fontId="2" fillId="0" borderId="0" xfId="1" applyNumberFormat="1" applyFont="1"/>
    <xf numFmtId="0" fontId="9" fillId="0" borderId="0" xfId="3"/>
    <xf numFmtId="0" fontId="10" fillId="0" borderId="0" xfId="3" applyFont="1"/>
    <xf numFmtId="0" fontId="11" fillId="0" borderId="0" xfId="3" quotePrefix="1" applyFont="1"/>
    <xf numFmtId="0" fontId="12" fillId="0" borderId="0" xfId="3" applyFont="1"/>
    <xf numFmtId="0" fontId="9" fillId="0" borderId="3" xfId="3" applyBorder="1"/>
    <xf numFmtId="0" fontId="9" fillId="0" borderId="4" xfId="3" applyBorder="1"/>
    <xf numFmtId="0" fontId="9" fillId="0" borderId="0" xfId="3" applyBorder="1"/>
    <xf numFmtId="0" fontId="13" fillId="0" borderId="3" xfId="3" applyFont="1" applyBorder="1"/>
    <xf numFmtId="0" fontId="13" fillId="0" borderId="3" xfId="3" applyFont="1" applyFill="1" applyBorder="1"/>
    <xf numFmtId="0" fontId="15" fillId="0" borderId="0" xfId="3" applyFont="1" applyBorder="1"/>
    <xf numFmtId="0" fontId="16" fillId="0" borderId="0" xfId="3" applyFont="1" applyAlignment="1">
      <alignment horizontal="left"/>
    </xf>
    <xf numFmtId="0" fontId="16" fillId="0" borderId="0" xfId="3" applyFont="1" applyAlignment="1">
      <alignment horizontal="center"/>
    </xf>
    <xf numFmtId="0" fontId="9" fillId="0" borderId="4" xfId="3" applyBorder="1" applyAlignment="1">
      <alignment horizontal="center"/>
    </xf>
    <xf numFmtId="0" fontId="9" fillId="0" borderId="0" xfId="3" applyAlignment="1">
      <alignment horizontal="center"/>
    </xf>
    <xf numFmtId="0" fontId="17" fillId="0" borderId="0" xfId="3" applyFont="1" applyAlignment="1">
      <alignment horizontal="center"/>
    </xf>
    <xf numFmtId="0" fontId="17" fillId="0" borderId="3" xfId="3" applyFont="1" applyBorder="1" applyAlignment="1">
      <alignment horizontal="center"/>
    </xf>
    <xf numFmtId="0" fontId="9" fillId="0" borderId="3" xfId="3" applyBorder="1" applyAlignment="1">
      <alignment horizontal="center"/>
    </xf>
    <xf numFmtId="0" fontId="9" fillId="0" borderId="0" xfId="3" applyBorder="1" applyAlignment="1">
      <alignment horizontal="center"/>
    </xf>
    <xf numFmtId="0" fontId="17" fillId="0" borderId="4" xfId="3" applyFont="1" applyBorder="1" applyAlignment="1">
      <alignment horizontal="center"/>
    </xf>
    <xf numFmtId="0" fontId="18" fillId="0" borderId="0" xfId="3" applyFont="1" applyBorder="1" applyAlignment="1">
      <alignment horizontal="center"/>
    </xf>
    <xf numFmtId="0" fontId="17" fillId="0" borderId="3" xfId="3" applyFont="1" applyFill="1" applyBorder="1" applyAlignment="1">
      <alignment horizontal="center"/>
    </xf>
    <xf numFmtId="0" fontId="18" fillId="0" borderId="0" xfId="3" applyFont="1" applyFill="1" applyBorder="1" applyAlignment="1">
      <alignment horizontal="center"/>
    </xf>
    <xf numFmtId="0" fontId="17" fillId="0" borderId="0" xfId="3" applyFont="1" applyBorder="1" applyAlignment="1">
      <alignment horizontal="left"/>
    </xf>
    <xf numFmtId="0" fontId="19" fillId="0" borderId="0" xfId="3" applyFont="1" applyAlignment="1">
      <alignment horizontal="center"/>
    </xf>
    <xf numFmtId="0" fontId="17" fillId="0" borderId="0" xfId="3" applyFont="1"/>
    <xf numFmtId="0" fontId="18" fillId="0" borderId="0" xfId="3" applyFont="1" applyAlignment="1">
      <alignment horizontal="center"/>
    </xf>
    <xf numFmtId="0" fontId="17" fillId="0" borderId="3" xfId="3" quotePrefix="1" applyFont="1" applyBorder="1" applyAlignment="1">
      <alignment horizontal="center"/>
    </xf>
    <xf numFmtId="0" fontId="20" fillId="0" borderId="0" xfId="3" applyFont="1" applyAlignment="1">
      <alignment horizontal="center"/>
    </xf>
    <xf numFmtId="0" fontId="21" fillId="0" borderId="3" xfId="3" applyFont="1" applyFill="1" applyBorder="1" applyAlignment="1">
      <alignment horizontal="center"/>
    </xf>
    <xf numFmtId="0" fontId="21" fillId="0" borderId="3" xfId="3" applyFont="1" applyBorder="1" applyAlignment="1">
      <alignment horizontal="center"/>
    </xf>
    <xf numFmtId="0" fontId="17" fillId="0" borderId="0" xfId="3" quotePrefix="1" applyFont="1" applyAlignment="1">
      <alignment horizontal="center"/>
    </xf>
    <xf numFmtId="0" fontId="17" fillId="0" borderId="4" xfId="3" quotePrefix="1" applyFont="1" applyBorder="1" applyAlignment="1">
      <alignment horizontal="center"/>
    </xf>
    <xf numFmtId="0" fontId="21" fillId="0" borderId="0" xfId="3" applyFont="1" applyBorder="1" applyAlignment="1">
      <alignment horizontal="center"/>
    </xf>
    <xf numFmtId="0" fontId="9" fillId="0" borderId="3" xfId="3" quotePrefix="1" applyBorder="1"/>
    <xf numFmtId="0" fontId="16" fillId="0" borderId="3" xfId="3" applyFont="1" applyBorder="1" applyAlignment="1">
      <alignment horizontal="center"/>
    </xf>
    <xf numFmtId="0" fontId="16" fillId="0" borderId="4" xfId="3" applyFont="1" applyBorder="1" applyAlignment="1">
      <alignment horizontal="center"/>
    </xf>
    <xf numFmtId="0" fontId="16" fillId="0" borderId="0" xfId="3" applyFont="1" applyFill="1" applyAlignment="1">
      <alignment horizontal="center"/>
    </xf>
    <xf numFmtId="0" fontId="16" fillId="0" borderId="3" xfId="3" applyFont="1" applyFill="1" applyBorder="1" applyAlignment="1">
      <alignment horizontal="center"/>
    </xf>
    <xf numFmtId="0" fontId="22" fillId="0" borderId="3" xfId="3" applyFont="1" applyFill="1" applyBorder="1" applyAlignment="1">
      <alignment horizontal="center"/>
    </xf>
    <xf numFmtId="0" fontId="17" fillId="0" borderId="0" xfId="3" applyFont="1" applyBorder="1" applyAlignment="1">
      <alignment vertical="center" textRotation="90" shrinkToFit="1"/>
    </xf>
    <xf numFmtId="0" fontId="17" fillId="0" borderId="0" xfId="3" applyFont="1" applyBorder="1" applyAlignment="1">
      <alignment horizontal="center"/>
    </xf>
    <xf numFmtId="0" fontId="9" fillId="0" borderId="0" xfId="3" applyFill="1" applyBorder="1"/>
    <xf numFmtId="164" fontId="9" fillId="0" borderId="3" xfId="3" applyNumberFormat="1" applyBorder="1"/>
    <xf numFmtId="168" fontId="21" fillId="0" borderId="0" xfId="3" applyNumberFormat="1" applyFont="1" applyBorder="1"/>
    <xf numFmtId="164" fontId="9" fillId="0" borderId="0" xfId="3" applyNumberFormat="1" applyBorder="1"/>
    <xf numFmtId="164" fontId="9" fillId="0" borderId="4" xfId="3" applyNumberFormat="1" applyBorder="1"/>
    <xf numFmtId="164" fontId="9" fillId="0" borderId="0" xfId="3" applyNumberFormat="1"/>
    <xf numFmtId="0" fontId="17" fillId="18" borderId="0" xfId="3" applyFont="1" applyFill="1" applyBorder="1" applyAlignment="1">
      <alignment horizontal="center"/>
    </xf>
    <xf numFmtId="0" fontId="9" fillId="18" borderId="0" xfId="3" applyFill="1" applyBorder="1"/>
    <xf numFmtId="164" fontId="9" fillId="18" borderId="3" xfId="3" applyNumberFormat="1" applyFill="1" applyBorder="1"/>
    <xf numFmtId="168" fontId="21" fillId="19" borderId="0" xfId="3" applyNumberFormat="1" applyFont="1" applyFill="1" applyBorder="1"/>
    <xf numFmtId="164" fontId="9" fillId="19" borderId="0" xfId="3" applyNumberFormat="1" applyFill="1" applyBorder="1"/>
    <xf numFmtId="164" fontId="9" fillId="18" borderId="0" xfId="3" applyNumberFormat="1" applyFill="1" applyBorder="1"/>
    <xf numFmtId="164" fontId="9" fillId="18" borderId="4" xfId="3" applyNumberFormat="1" applyFill="1" applyBorder="1"/>
    <xf numFmtId="168" fontId="9" fillId="19" borderId="0" xfId="3" applyNumberFormat="1" applyFill="1" applyBorder="1"/>
    <xf numFmtId="0" fontId="17" fillId="0" borderId="0" xfId="3" applyFont="1" applyFill="1" applyBorder="1" applyAlignment="1">
      <alignment vertical="center" textRotation="90" shrinkToFit="1"/>
    </xf>
    <xf numFmtId="168" fontId="21" fillId="18" borderId="0" xfId="3" applyNumberFormat="1" applyFont="1" applyFill="1" applyBorder="1"/>
    <xf numFmtId="0" fontId="9" fillId="0" borderId="0" xfId="3" applyFill="1"/>
    <xf numFmtId="0" fontId="17" fillId="18" borderId="5" xfId="3" applyFont="1" applyFill="1" applyBorder="1" applyAlignment="1">
      <alignment horizontal="center"/>
    </xf>
    <xf numFmtId="0" fontId="9" fillId="18" borderId="5" xfId="3" applyFill="1" applyBorder="1"/>
    <xf numFmtId="168" fontId="21" fillId="18" borderId="5" xfId="3" applyNumberFormat="1" applyFont="1" applyFill="1" applyBorder="1"/>
    <xf numFmtId="168" fontId="9" fillId="19" borderId="5" xfId="3" applyNumberFormat="1" applyFill="1" applyBorder="1"/>
    <xf numFmtId="164" fontId="9" fillId="18" borderId="5" xfId="3" applyNumberFormat="1" applyFill="1" applyBorder="1"/>
    <xf numFmtId="0" fontId="17" fillId="21" borderId="0" xfId="3" applyFont="1" applyFill="1" applyAlignment="1">
      <alignment horizontal="center"/>
    </xf>
    <xf numFmtId="164" fontId="9" fillId="22" borderId="3" xfId="3" applyNumberFormat="1" applyFill="1" applyBorder="1"/>
    <xf numFmtId="168" fontId="21" fillId="23" borderId="0" xfId="3" applyNumberFormat="1" applyFont="1" applyFill="1" applyBorder="1"/>
    <xf numFmtId="164" fontId="9" fillId="21" borderId="0" xfId="3" applyNumberFormat="1" applyFill="1" applyBorder="1"/>
    <xf numFmtId="168" fontId="21" fillId="21" borderId="0" xfId="3" applyNumberFormat="1" applyFont="1" applyFill="1" applyBorder="1"/>
    <xf numFmtId="164" fontId="9" fillId="22" borderId="0" xfId="3" applyNumberFormat="1" applyFill="1" applyBorder="1" applyAlignment="1">
      <alignment horizontal="right"/>
    </xf>
    <xf numFmtId="164" fontId="9" fillId="22" borderId="0" xfId="3" applyNumberFormat="1" applyFill="1" applyBorder="1"/>
    <xf numFmtId="164" fontId="9" fillId="23" borderId="4" xfId="3" applyNumberFormat="1" applyFill="1" applyBorder="1"/>
    <xf numFmtId="168" fontId="9" fillId="23" borderId="0" xfId="3" applyNumberFormat="1" applyFill="1" applyBorder="1"/>
    <xf numFmtId="164" fontId="9" fillId="22" borderId="9" xfId="3" applyNumberFormat="1" applyFill="1" applyBorder="1"/>
    <xf numFmtId="164" fontId="9" fillId="21" borderId="0" xfId="3" applyNumberFormat="1" applyFill="1"/>
    <xf numFmtId="0" fontId="9" fillId="21" borderId="0" xfId="3" applyFill="1" applyBorder="1"/>
    <xf numFmtId="164" fontId="9" fillId="23" borderId="0" xfId="3" applyNumberFormat="1" applyFill="1"/>
    <xf numFmtId="0" fontId="9" fillId="23" borderId="0" xfId="3" applyFill="1" applyBorder="1"/>
    <xf numFmtId="0" fontId="9" fillId="0" borderId="0" xfId="3" quotePrefix="1" applyAlignment="1">
      <alignment horizontal="center"/>
    </xf>
    <xf numFmtId="0" fontId="9" fillId="0" borderId="0" xfId="3" quotePrefix="1" applyFill="1" applyAlignment="1">
      <alignment horizontal="center"/>
    </xf>
    <xf numFmtId="0" fontId="17" fillId="0" borderId="0" xfId="3" applyFont="1" applyFill="1"/>
    <xf numFmtId="0" fontId="9" fillId="24" borderId="0" xfId="3" applyFill="1"/>
    <xf numFmtId="3" fontId="9" fillId="0" borderId="0" xfId="3" applyNumberFormat="1"/>
    <xf numFmtId="0" fontId="23" fillId="0" borderId="0" xfId="3" applyFont="1"/>
    <xf numFmtId="0" fontId="8" fillId="0" borderId="1" xfId="2"/>
    <xf numFmtId="3" fontId="26" fillId="0" borderId="0" xfId="11" applyNumberFormat="1" applyAlignment="1">
      <alignment horizontal="right"/>
    </xf>
    <xf numFmtId="3" fontId="9" fillId="0" borderId="0" xfId="3" applyNumberFormat="1" applyAlignment="1">
      <alignment horizontal="right"/>
    </xf>
    <xf numFmtId="0" fontId="6" fillId="0" borderId="0" xfId="3" applyFont="1"/>
    <xf numFmtId="3" fontId="17" fillId="24" borderId="0" xfId="3" applyNumberFormat="1" applyFont="1" applyFill="1" applyAlignment="1">
      <alignment horizontal="center"/>
    </xf>
    <xf numFmtId="3" fontId="17" fillId="0" borderId="0" xfId="3" applyNumberFormat="1" applyFont="1" applyFill="1" applyAlignment="1">
      <alignment horizontal="center"/>
    </xf>
    <xf numFmtId="3" fontId="9" fillId="24" borderId="0" xfId="3" applyNumberFormat="1" applyFill="1" applyAlignment="1">
      <alignment horizontal="center"/>
    </xf>
    <xf numFmtId="3" fontId="9" fillId="0" borderId="0" xfId="3" applyNumberFormat="1" applyFill="1" applyAlignment="1">
      <alignment horizontal="center"/>
    </xf>
    <xf numFmtId="3" fontId="9" fillId="24" borderId="0" xfId="3" applyNumberFormat="1" applyFill="1" applyAlignment="1">
      <alignment horizontal="right"/>
    </xf>
    <xf numFmtId="3" fontId="9" fillId="0" borderId="0" xfId="3" applyNumberFormat="1" applyFill="1" applyAlignment="1">
      <alignment horizontal="right"/>
    </xf>
    <xf numFmtId="3" fontId="17" fillId="24" borderId="10" xfId="3" applyNumberFormat="1" applyFont="1" applyFill="1" applyBorder="1" applyAlignment="1">
      <alignment horizontal="right"/>
    </xf>
    <xf numFmtId="3" fontId="17" fillId="0" borderId="10" xfId="3" applyNumberFormat="1" applyFont="1" applyFill="1" applyBorder="1" applyAlignment="1">
      <alignment horizontal="right"/>
    </xf>
    <xf numFmtId="3" fontId="9" fillId="0" borderId="0" xfId="3" applyNumberFormat="1" applyFill="1"/>
    <xf numFmtId="37" fontId="9" fillId="24" borderId="0" xfId="3" applyNumberFormat="1" applyFill="1"/>
    <xf numFmtId="37" fontId="9" fillId="0" borderId="0" xfId="3" applyNumberFormat="1" applyFill="1"/>
    <xf numFmtId="3" fontId="17" fillId="21" borderId="10" xfId="3" applyNumberFormat="1" applyFont="1" applyFill="1" applyBorder="1" applyAlignment="1">
      <alignment horizontal="right"/>
    </xf>
    <xf numFmtId="3" fontId="17" fillId="24" borderId="0" xfId="3" applyNumberFormat="1" applyFont="1" applyFill="1" applyAlignment="1">
      <alignment horizontal="right"/>
    </xf>
    <xf numFmtId="3" fontId="17" fillId="0" borderId="0" xfId="3" applyNumberFormat="1" applyFont="1" applyAlignment="1">
      <alignment horizontal="right"/>
    </xf>
    <xf numFmtId="0" fontId="9" fillId="0" borderId="0" xfId="3" applyFont="1"/>
    <xf numFmtId="168" fontId="17" fillId="24" borderId="10" xfId="57" applyNumberFormat="1" applyFont="1" applyFill="1" applyBorder="1" applyAlignment="1">
      <alignment horizontal="right"/>
    </xf>
    <xf numFmtId="168" fontId="17" fillId="0" borderId="10" xfId="57" applyNumberFormat="1" applyFont="1" applyFill="1" applyBorder="1" applyAlignment="1">
      <alignment horizontal="right"/>
    </xf>
    <xf numFmtId="0" fontId="9" fillId="0" borderId="0" xfId="3" applyFont="1" applyFill="1" applyBorder="1" applyAlignment="1">
      <alignment horizontal="center"/>
    </xf>
    <xf numFmtId="168" fontId="0" fillId="0" borderId="0" xfId="57" applyNumberFormat="1" applyFont="1" applyBorder="1"/>
    <xf numFmtId="169" fontId="0" fillId="0" borderId="3" xfId="58" applyNumberFormat="1" applyFont="1" applyBorder="1"/>
    <xf numFmtId="167" fontId="0" fillId="0" borderId="3" xfId="58" applyNumberFormat="1" applyFont="1" applyBorder="1"/>
    <xf numFmtId="167" fontId="9" fillId="18" borderId="0" xfId="58" applyNumberFormat="1" applyFont="1" applyFill="1" applyBorder="1" applyAlignment="1">
      <alignment horizontal="right"/>
    </xf>
    <xf numFmtId="168" fontId="9" fillId="19" borderId="4" xfId="57" applyNumberFormat="1" applyFont="1" applyFill="1" applyBorder="1"/>
    <xf numFmtId="164" fontId="9" fillId="18" borderId="0" xfId="3" applyNumberFormat="1" applyFont="1" applyFill="1" applyBorder="1"/>
    <xf numFmtId="167" fontId="9" fillId="18" borderId="3" xfId="58" applyNumberFormat="1" applyFont="1" applyFill="1" applyBorder="1"/>
    <xf numFmtId="167" fontId="0" fillId="19" borderId="3" xfId="58" applyNumberFormat="1" applyFont="1" applyFill="1" applyBorder="1"/>
    <xf numFmtId="0" fontId="9" fillId="18" borderId="0" xfId="3" applyFont="1" applyFill="1" applyBorder="1"/>
    <xf numFmtId="164" fontId="9" fillId="18" borderId="3" xfId="3" applyNumberFormat="1" applyFont="1" applyFill="1" applyBorder="1"/>
    <xf numFmtId="164" fontId="9" fillId="18" borderId="4" xfId="3" applyNumberFormat="1" applyFont="1" applyFill="1" applyBorder="1"/>
    <xf numFmtId="168" fontId="9" fillId="18" borderId="0" xfId="57" applyNumberFormat="1" applyFont="1" applyFill="1" applyBorder="1"/>
    <xf numFmtId="167" fontId="0" fillId="18" borderId="3" xfId="58" applyNumberFormat="1" applyFont="1" applyFill="1" applyBorder="1"/>
    <xf numFmtId="164" fontId="9" fillId="18" borderId="6" xfId="3" applyNumberFormat="1" applyFont="1" applyFill="1" applyBorder="1"/>
    <xf numFmtId="164" fontId="9" fillId="18" borderId="5" xfId="3" applyNumberFormat="1" applyFont="1" applyFill="1" applyBorder="1" applyAlignment="1">
      <alignment horizontal="right"/>
    </xf>
    <xf numFmtId="164" fontId="9" fillId="18" borderId="5" xfId="3" applyNumberFormat="1" applyFont="1" applyFill="1" applyBorder="1"/>
    <xf numFmtId="164" fontId="9" fillId="18" borderId="7" xfId="3" applyNumberFormat="1" applyFont="1" applyFill="1" applyBorder="1"/>
    <xf numFmtId="0" fontId="9" fillId="18" borderId="5" xfId="3" applyFont="1" applyFill="1" applyBorder="1"/>
    <xf numFmtId="168" fontId="9" fillId="19" borderId="8" xfId="57" applyNumberFormat="1" applyFont="1" applyFill="1" applyBorder="1"/>
    <xf numFmtId="168" fontId="0" fillId="18" borderId="7" xfId="57" applyNumberFormat="1" applyFont="1" applyFill="1" applyBorder="1"/>
    <xf numFmtId="167" fontId="0" fillId="18" borderId="5" xfId="58" applyNumberFormat="1" applyFont="1" applyFill="1" applyBorder="1"/>
    <xf numFmtId="167" fontId="0" fillId="18" borderId="6" xfId="58" applyNumberFormat="1" applyFont="1" applyFill="1" applyBorder="1"/>
    <xf numFmtId="167" fontId="0" fillId="20" borderId="5" xfId="58" applyNumberFormat="1" applyFont="1" applyFill="1" applyBorder="1"/>
    <xf numFmtId="0" fontId="9" fillId="21" borderId="0" xfId="3" applyFont="1" applyFill="1" applyBorder="1" applyAlignment="1">
      <alignment wrapText="1"/>
    </xf>
    <xf numFmtId="168" fontId="9" fillId="23" borderId="4" xfId="57" applyNumberFormat="1" applyFont="1" applyFill="1" applyBorder="1"/>
    <xf numFmtId="168" fontId="0" fillId="23" borderId="4" xfId="57" applyNumberFormat="1" applyFont="1" applyFill="1" applyBorder="1"/>
    <xf numFmtId="167" fontId="9" fillId="21" borderId="0" xfId="58" applyNumberFormat="1" applyFont="1" applyFill="1" applyBorder="1"/>
    <xf numFmtId="167" fontId="0" fillId="21" borderId="3" xfId="58" applyNumberFormat="1" applyFont="1" applyFill="1" applyBorder="1"/>
    <xf numFmtId="167" fontId="9" fillId="20" borderId="0" xfId="58" applyNumberFormat="1" applyFont="1" applyFill="1" applyBorder="1"/>
    <xf numFmtId="0" fontId="6" fillId="25" borderId="0" xfId="0" applyFont="1" applyFill="1" applyBorder="1"/>
    <xf numFmtId="0" fontId="6" fillId="0" borderId="0" xfId="0" applyFont="1" applyFill="1"/>
    <xf numFmtId="164" fontId="2" fillId="0" borderId="0" xfId="1" applyNumberFormat="1" applyFont="1" applyAlignment="1">
      <alignment horizontal="right" indent="2"/>
    </xf>
    <xf numFmtId="165" fontId="2" fillId="0" borderId="0" xfId="0" applyNumberFormat="1" applyFont="1" applyAlignment="1">
      <alignment horizontal="right" indent="2"/>
    </xf>
    <xf numFmtId="165" fontId="6" fillId="0" borderId="0" xfId="0" applyNumberFormat="1" applyFont="1" applyAlignment="1">
      <alignment horizontal="right" indent="2"/>
    </xf>
    <xf numFmtId="164" fontId="6" fillId="0" borderId="0" xfId="1" applyNumberFormat="1" applyFont="1" applyAlignment="1">
      <alignment horizontal="right" indent="2"/>
    </xf>
    <xf numFmtId="164" fontId="6" fillId="0" borderId="0" xfId="1" applyNumberFormat="1" applyFont="1" applyFill="1" applyAlignment="1">
      <alignment horizontal="right" indent="2"/>
    </xf>
    <xf numFmtId="164" fontId="6" fillId="25" borderId="0" xfId="1" applyNumberFormat="1" applyFont="1" applyFill="1" applyAlignment="1">
      <alignment horizontal="right" indent="2"/>
    </xf>
    <xf numFmtId="164" fontId="6" fillId="25" borderId="0" xfId="1" applyNumberFormat="1" applyFont="1" applyFill="1" applyBorder="1" applyAlignment="1">
      <alignment horizontal="right" indent="2"/>
    </xf>
    <xf numFmtId="165" fontId="6" fillId="0" borderId="0" xfId="0" applyNumberFormat="1" applyFont="1" applyFill="1" applyAlignment="1">
      <alignment horizontal="right" indent="2"/>
    </xf>
    <xf numFmtId="165" fontId="6" fillId="25" borderId="0" xfId="0" applyNumberFormat="1" applyFont="1" applyFill="1" applyAlignment="1">
      <alignment horizontal="right" indent="2"/>
    </xf>
    <xf numFmtId="165" fontId="6" fillId="25" borderId="0" xfId="0" applyNumberFormat="1" applyFont="1" applyFill="1" applyBorder="1" applyAlignment="1">
      <alignment horizontal="right" indent="2"/>
    </xf>
    <xf numFmtId="164" fontId="2" fillId="0" borderId="0" xfId="1" applyNumberFormat="1" applyFont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164" fontId="2" fillId="0" borderId="0" xfId="0" applyNumberFormat="1" applyFont="1" applyAlignment="1">
      <alignment horizontal="right" indent="1"/>
    </xf>
    <xf numFmtId="165" fontId="2" fillId="0" borderId="0" xfId="1" applyNumberFormat="1" applyFont="1" applyAlignment="1">
      <alignment horizontal="right" indent="1"/>
    </xf>
    <xf numFmtId="164" fontId="2" fillId="0" borderId="0" xfId="1" applyNumberFormat="1" applyFont="1" applyFill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4" fontId="2" fillId="0" borderId="0" xfId="0" applyNumberFormat="1" applyFont="1" applyFill="1" applyAlignment="1">
      <alignment horizontal="right" indent="1"/>
    </xf>
    <xf numFmtId="164" fontId="6" fillId="0" borderId="0" xfId="0" applyNumberFormat="1" applyFont="1" applyFill="1" applyAlignment="1">
      <alignment horizontal="right" indent="1"/>
    </xf>
    <xf numFmtId="165" fontId="6" fillId="0" borderId="0" xfId="0" applyNumberFormat="1" applyFont="1" applyFill="1" applyAlignment="1">
      <alignment horizontal="right" indent="1"/>
    </xf>
    <xf numFmtId="164" fontId="6" fillId="0" borderId="0" xfId="1" applyNumberFormat="1" applyFont="1" applyFill="1" applyAlignment="1">
      <alignment horizontal="right" indent="1"/>
    </xf>
    <xf numFmtId="164" fontId="6" fillId="25" borderId="0" xfId="0" applyNumberFormat="1" applyFont="1" applyFill="1" applyAlignment="1">
      <alignment horizontal="right" indent="1"/>
    </xf>
    <xf numFmtId="165" fontId="6" fillId="25" borderId="0" xfId="0" applyNumberFormat="1" applyFont="1" applyFill="1" applyAlignment="1">
      <alignment horizontal="right" indent="1"/>
    </xf>
    <xf numFmtId="164" fontId="6" fillId="25" borderId="0" xfId="1" applyNumberFormat="1" applyFont="1" applyFill="1" applyAlignment="1">
      <alignment horizontal="right" indent="1"/>
    </xf>
    <xf numFmtId="164" fontId="6" fillId="25" borderId="0" xfId="0" applyNumberFormat="1" applyFont="1" applyFill="1" applyBorder="1" applyAlignment="1">
      <alignment horizontal="right" indent="1"/>
    </xf>
    <xf numFmtId="165" fontId="6" fillId="25" borderId="0" xfId="0" applyNumberFormat="1" applyFont="1" applyFill="1" applyBorder="1" applyAlignment="1">
      <alignment horizontal="right" indent="1"/>
    </xf>
    <xf numFmtId="164" fontId="6" fillId="25" borderId="0" xfId="1" applyNumberFormat="1" applyFont="1" applyFill="1" applyBorder="1" applyAlignment="1">
      <alignment horizontal="right" indent="1"/>
    </xf>
    <xf numFmtId="164" fontId="6" fillId="26" borderId="0" xfId="0" applyNumberFormat="1" applyFont="1" applyFill="1" applyAlignment="1">
      <alignment horizontal="right" indent="1"/>
    </xf>
    <xf numFmtId="165" fontId="6" fillId="26" borderId="0" xfId="0" applyNumberFormat="1" applyFont="1" applyFill="1" applyAlignment="1">
      <alignment horizontal="right" indent="1"/>
    </xf>
    <xf numFmtId="164" fontId="6" fillId="26" borderId="0" xfId="1" applyNumberFormat="1" applyFont="1" applyFill="1" applyAlignment="1">
      <alignment horizontal="right" indent="1"/>
    </xf>
    <xf numFmtId="164" fontId="2" fillId="0" borderId="0" xfId="1" applyNumberFormat="1" applyFont="1" applyFill="1" applyAlignment="1">
      <alignment horizontal="right" indent="2"/>
    </xf>
    <xf numFmtId="165" fontId="2" fillId="0" borderId="0" xfId="0" applyNumberFormat="1" applyFont="1" applyFill="1" applyAlignment="1">
      <alignment horizontal="right" indent="2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3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center" vertical="top" wrapText="1"/>
    </xf>
    <xf numFmtId="0" fontId="6" fillId="26" borderId="0" xfId="0" applyFont="1" applyFill="1"/>
    <xf numFmtId="164" fontId="6" fillId="26" borderId="0" xfId="1" applyNumberFormat="1" applyFont="1" applyFill="1" applyAlignment="1">
      <alignment horizontal="right" indent="2"/>
    </xf>
    <xf numFmtId="165" fontId="6" fillId="26" borderId="0" xfId="0" applyNumberFormat="1" applyFont="1" applyFill="1" applyAlignment="1">
      <alignment horizontal="right" indent="2"/>
    </xf>
    <xf numFmtId="168" fontId="2" fillId="0" borderId="0" xfId="59" applyNumberFormat="1" applyFont="1"/>
    <xf numFmtId="1" fontId="2" fillId="0" borderId="0" xfId="0" applyNumberFormat="1" applyFont="1"/>
    <xf numFmtId="0" fontId="3" fillId="3" borderId="0" xfId="0" applyFont="1" applyFill="1" applyAlignment="1">
      <alignment horizontal="center" wrapText="1"/>
    </xf>
    <xf numFmtId="0" fontId="4" fillId="27" borderId="0" xfId="0" applyFont="1" applyFill="1" applyAlignment="1"/>
    <xf numFmtId="0" fontId="4" fillId="27" borderId="0" xfId="0" applyFont="1" applyFill="1" applyAlignment="1">
      <alignment horizontal="center" wrapText="1"/>
    </xf>
    <xf numFmtId="0" fontId="3" fillId="28" borderId="0" xfId="0" applyFont="1" applyFill="1" applyAlignment="1">
      <alignment wrapText="1"/>
    </xf>
    <xf numFmtId="0" fontId="3" fillId="28" borderId="0" xfId="0" applyFont="1" applyFill="1" applyAlignment="1">
      <alignment horizontal="center" wrapText="1"/>
    </xf>
    <xf numFmtId="0" fontId="33" fillId="0" borderId="0" xfId="60" applyFont="1"/>
    <xf numFmtId="0" fontId="32" fillId="0" borderId="0" xfId="60"/>
    <xf numFmtId="0" fontId="35" fillId="0" borderId="0" xfId="61" applyFont="1" applyAlignment="1">
      <alignment vertical="top" wrapText="1"/>
    </xf>
    <xf numFmtId="0" fontId="32" fillId="0" borderId="0" xfId="60" applyAlignment="1">
      <alignment vertical="top"/>
    </xf>
    <xf numFmtId="0" fontId="27" fillId="0" borderId="0" xfId="48"/>
    <xf numFmtId="0" fontId="35" fillId="0" borderId="0" xfId="60" applyFont="1" applyAlignment="1">
      <alignment vertical="top" wrapText="1"/>
    </xf>
    <xf numFmtId="0" fontId="37" fillId="0" borderId="0" xfId="60" applyFont="1" applyProtection="1">
      <protection locked="0"/>
    </xf>
    <xf numFmtId="0" fontId="38" fillId="0" borderId="0" xfId="0" applyFont="1"/>
    <xf numFmtId="0" fontId="4" fillId="27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13" fillId="0" borderId="3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3" fillId="0" borderId="4" xfId="3" applyFont="1" applyBorder="1" applyAlignment="1">
      <alignment horizontal="center"/>
    </xf>
  </cellXfs>
  <cellStyles count="62">
    <cellStyle name="20% - Accent1 2" xfId="12" xr:uid="{00000000-0005-0000-0000-000000000000}"/>
    <cellStyle name="20% - Accent1 2 2" xfId="13" xr:uid="{00000000-0005-0000-0000-000001000000}"/>
    <cellStyle name="20% - Accent1 3" xfId="14" xr:uid="{00000000-0005-0000-0000-000002000000}"/>
    <cellStyle name="20% - Accent2 2" xfId="15" xr:uid="{00000000-0005-0000-0000-000003000000}"/>
    <cellStyle name="20% - Accent2 2 2" xfId="16" xr:uid="{00000000-0005-0000-0000-000004000000}"/>
    <cellStyle name="20% - Accent2 3" xfId="17" xr:uid="{00000000-0005-0000-0000-000005000000}"/>
    <cellStyle name="20% - Accent3 2" xfId="18" xr:uid="{00000000-0005-0000-0000-000006000000}"/>
    <cellStyle name="20% - Accent3 2 2" xfId="19" xr:uid="{00000000-0005-0000-0000-000007000000}"/>
    <cellStyle name="20% - Accent3 3" xfId="20" xr:uid="{00000000-0005-0000-0000-000008000000}"/>
    <cellStyle name="20% - Accent4 2" xfId="21" xr:uid="{00000000-0005-0000-0000-000009000000}"/>
    <cellStyle name="20% - Accent4 2 2" xfId="22" xr:uid="{00000000-0005-0000-0000-00000A000000}"/>
    <cellStyle name="20% - Accent4 3" xfId="23" xr:uid="{00000000-0005-0000-0000-00000B000000}"/>
    <cellStyle name="20% - Accent5 2" xfId="24" xr:uid="{00000000-0005-0000-0000-00000C000000}"/>
    <cellStyle name="20% - Accent5 2 2" xfId="25" xr:uid="{00000000-0005-0000-0000-00000D000000}"/>
    <cellStyle name="20% - Accent5 3" xfId="26" xr:uid="{00000000-0005-0000-0000-00000E000000}"/>
    <cellStyle name="20% - Accent6 2" xfId="27" xr:uid="{00000000-0005-0000-0000-00000F000000}"/>
    <cellStyle name="20% - Accent6 2 2" xfId="28" xr:uid="{00000000-0005-0000-0000-000010000000}"/>
    <cellStyle name="20% - Accent6 3" xfId="29" xr:uid="{00000000-0005-0000-0000-000011000000}"/>
    <cellStyle name="40% - Accent1 2" xfId="30" xr:uid="{00000000-0005-0000-0000-000012000000}"/>
    <cellStyle name="40% - Accent1 2 2" xfId="31" xr:uid="{00000000-0005-0000-0000-000013000000}"/>
    <cellStyle name="40% - Accent1 3" xfId="32" xr:uid="{00000000-0005-0000-0000-000014000000}"/>
    <cellStyle name="40% - Accent2 2" xfId="33" xr:uid="{00000000-0005-0000-0000-000015000000}"/>
    <cellStyle name="40% - Accent2 2 2" xfId="34" xr:uid="{00000000-0005-0000-0000-000016000000}"/>
    <cellStyle name="40% - Accent2 3" xfId="35" xr:uid="{00000000-0005-0000-0000-000017000000}"/>
    <cellStyle name="40% - Accent3 2" xfId="36" xr:uid="{00000000-0005-0000-0000-000018000000}"/>
    <cellStyle name="40% - Accent3 2 2" xfId="37" xr:uid="{00000000-0005-0000-0000-000019000000}"/>
    <cellStyle name="40% - Accent3 3" xfId="38" xr:uid="{00000000-0005-0000-0000-00001A000000}"/>
    <cellStyle name="40% - Accent4 2" xfId="39" xr:uid="{00000000-0005-0000-0000-00001B000000}"/>
    <cellStyle name="40% - Accent4 2 2" xfId="40" xr:uid="{00000000-0005-0000-0000-00001C000000}"/>
    <cellStyle name="40% - Accent4 3" xfId="41" xr:uid="{00000000-0005-0000-0000-00001D000000}"/>
    <cellStyle name="40% - Accent5 2" xfId="42" xr:uid="{00000000-0005-0000-0000-00001E000000}"/>
    <cellStyle name="40% - Accent5 2 2" xfId="43" xr:uid="{00000000-0005-0000-0000-00001F000000}"/>
    <cellStyle name="40% - Accent5 3" xfId="44" xr:uid="{00000000-0005-0000-0000-000020000000}"/>
    <cellStyle name="40% - Accent6 2" xfId="45" xr:uid="{00000000-0005-0000-0000-000021000000}"/>
    <cellStyle name="40% - Accent6 2 2" xfId="46" xr:uid="{00000000-0005-0000-0000-000022000000}"/>
    <cellStyle name="40% - Accent6 3" xfId="47" xr:uid="{00000000-0005-0000-0000-000023000000}"/>
    <cellStyle name="Comma" xfId="1" builtinId="3"/>
    <cellStyle name="Comma 2" xfId="5" xr:uid="{00000000-0005-0000-0000-000025000000}"/>
    <cellStyle name="Comma 3" xfId="58" xr:uid="{00000000-0005-0000-0000-000026000000}"/>
    <cellStyle name="Heading 1" xfId="2" builtinId="16"/>
    <cellStyle name="Hyperlink" xfId="11" builtinId="8"/>
    <cellStyle name="Hyperlink 2" xfId="48" xr:uid="{00000000-0005-0000-0000-000029000000}"/>
    <cellStyle name="Normal" xfId="0" builtinId="0"/>
    <cellStyle name="Normal 2" xfId="3" xr:uid="{00000000-0005-0000-0000-00002C000000}"/>
    <cellStyle name="Normal 2 2" xfId="6" xr:uid="{00000000-0005-0000-0000-00002D000000}"/>
    <cellStyle name="Normal 2 3" xfId="7" xr:uid="{00000000-0005-0000-0000-00002E000000}"/>
    <cellStyle name="Normal 3" xfId="8" xr:uid="{00000000-0005-0000-0000-00002F000000}"/>
    <cellStyle name="Normal 3 2" xfId="61" xr:uid="{D25FBFFD-938F-44DB-93CC-8F33105CCCD1}"/>
    <cellStyle name="Normal 4" xfId="49" xr:uid="{00000000-0005-0000-0000-000030000000}"/>
    <cellStyle name="Normal 4 2" xfId="50" xr:uid="{00000000-0005-0000-0000-000031000000}"/>
    <cellStyle name="Normal 5" xfId="51" xr:uid="{00000000-0005-0000-0000-000032000000}"/>
    <cellStyle name="Normal 5 2" xfId="52" xr:uid="{00000000-0005-0000-0000-000033000000}"/>
    <cellStyle name="Normal 6" xfId="53" xr:uid="{00000000-0005-0000-0000-000034000000}"/>
    <cellStyle name="Normal 9" xfId="9" xr:uid="{00000000-0005-0000-0000-000035000000}"/>
    <cellStyle name="Normal_Operating Statement historical General Government Version 1 27 April 2011" xfId="60" xr:uid="{03869B9D-6BD1-45DA-A45A-D9539E839A3A}"/>
    <cellStyle name="Note 2" xfId="10" xr:uid="{00000000-0005-0000-0000-000036000000}"/>
    <cellStyle name="Note 2 2" xfId="54" xr:uid="{00000000-0005-0000-0000-000037000000}"/>
    <cellStyle name="Note 3" xfId="55" xr:uid="{00000000-0005-0000-0000-000038000000}"/>
    <cellStyle name="Note 3 2" xfId="56" xr:uid="{00000000-0005-0000-0000-000039000000}"/>
    <cellStyle name="Percent" xfId="59" builtinId="5"/>
    <cellStyle name="Percent 2" xfId="4" xr:uid="{00000000-0005-0000-0000-00003A000000}"/>
    <cellStyle name="Percent 3" xfId="57" xr:uid="{00000000-0005-0000-0000-00003B000000}"/>
  </cellStyles>
  <dxfs count="0"/>
  <tableStyles count="0" defaultTableStyle="TableStyleMedium2" defaultPivotStyle="PivotStyleLight16"/>
  <colors>
    <mruColors>
      <color rgb="FF00426F"/>
      <color rgb="FF008EBA"/>
      <color rgb="FF1D3B78"/>
      <color rgb="FF0579B9"/>
      <color rgb="FFDADADA"/>
      <color rgb="FFDAFFFF"/>
      <color rgb="FF25A9E1"/>
      <color rgb="FFABA8A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23</xdr:row>
      <xdr:rowOff>85725</xdr:rowOff>
    </xdr:from>
    <xdr:to>
      <xdr:col>17</xdr:col>
      <xdr:colOff>609600</xdr:colOff>
      <xdr:row>26</xdr:row>
      <xdr:rowOff>104775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3922395" y="4406265"/>
          <a:ext cx="11553825" cy="5219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Insce Liabilities include emerging liabilities for the Lifetime Care and Support Authority, which are estimated to evolve from $38m in June 2007 thru to $4.3 billion in June 2018. LC&amp;SA has a projected "nearly zero" impact on NFLs because it is fully funded over time from premiums, however its investment balances directly impact and improves the TSS Net Debt.</a:t>
          </a:r>
          <a:endParaRPr lang="en-AU"/>
        </a:p>
      </xdr:txBody>
    </xdr:sp>
    <xdr:clientData/>
  </xdr:twoCellAnchor>
  <xdr:twoCellAnchor>
    <xdr:from>
      <xdr:col>10</xdr:col>
      <xdr:colOff>733425</xdr:colOff>
      <xdr:row>12</xdr:row>
      <xdr:rowOff>0</xdr:rowOff>
    </xdr:from>
    <xdr:to>
      <xdr:col>10</xdr:col>
      <xdr:colOff>876300</xdr:colOff>
      <xdr:row>19</xdr:row>
      <xdr:rowOff>142875</xdr:rowOff>
    </xdr:to>
    <xdr:sp macro="" textlink="">
      <xdr:nvSpPr>
        <xdr:cNvPr id="3" name="AutoShape 1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/>
        </xdr:cNvSpPr>
      </xdr:nvSpPr>
      <xdr:spPr bwMode="auto">
        <a:xfrm>
          <a:off x="7987665" y="2491740"/>
          <a:ext cx="142875" cy="1308735"/>
        </a:xfrm>
        <a:prstGeom prst="leftBracket">
          <a:avLst>
            <a:gd name="adj" fmla="val 8111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600075</xdr:colOff>
      <xdr:row>14</xdr:row>
      <xdr:rowOff>133350</xdr:rowOff>
    </xdr:from>
    <xdr:to>
      <xdr:col>10</xdr:col>
      <xdr:colOff>609600</xdr:colOff>
      <xdr:row>23</xdr:row>
      <xdr:rowOff>76200</xdr:rowOff>
    </xdr:to>
    <xdr:sp macro="" textlink="">
      <xdr:nvSpPr>
        <xdr:cNvPr id="4" name="Line 2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7854315" y="2960370"/>
          <a:ext cx="9525" cy="14363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ngx/Desktop/1.1_2017-18-Budget-Consolidated-GG-Comprehensive-Operating-State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Downloads\1.%20Moody's%20Commercial%20Debt%20at%20Budget%202017-18_V3_AY0906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Downloads\3.%20Balance%20Sheet%20KFIs%20at%20Budget%202017-18_v3_AY090617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Operating Statement General Gov"/>
      <sheetName val="ProvisionofServices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mmercial PTEs listing"/>
      <sheetName val="Moodies Commerical Debt 1718"/>
      <sheetName val="GG OPS 2015 Screenshot"/>
      <sheetName val="GG Operating statement 2017Bud"/>
      <sheetName val="2015-19 Total Debt Screenshot"/>
      <sheetName val="2017-2022 Total DebtBud"/>
      <sheetName val="2008-14 Total DebtBud Screensho"/>
      <sheetName val="2010-2015 Total DebtBud"/>
      <sheetName val="2009-15 PTE Screenshot"/>
      <sheetName val="2009-2015 PTEBud"/>
      <sheetName val="2015-19 PTEScreenshot"/>
      <sheetName val="2017-22 PTEBud"/>
    </sheetNames>
    <sheetDataSet>
      <sheetData sheetId="0"/>
      <sheetData sheetId="1"/>
      <sheetData sheetId="2"/>
      <sheetData sheetId="3"/>
      <sheetData sheetId="4">
        <row r="7">
          <cell r="B7" t="str">
            <v>OPERATING STATEMENT</v>
          </cell>
          <cell r="C7" t="str">
            <v xml:space="preserve">    Actuals</v>
          </cell>
          <cell r="D7" t="str">
            <v xml:space="preserve">    Budget</v>
          </cell>
          <cell r="E7" t="str">
            <v xml:space="preserve">  Projection</v>
          </cell>
          <cell r="F7" t="str">
            <v xml:space="preserve">    Budget</v>
          </cell>
          <cell r="G7" t="str">
            <v xml:space="preserve">    Budget</v>
          </cell>
          <cell r="H7" t="str">
            <v xml:space="preserve">    Budget</v>
          </cell>
          <cell r="I7" t="str">
            <v xml:space="preserve">    Budget</v>
          </cell>
        </row>
        <row r="8">
          <cell r="C8" t="str">
            <v xml:space="preserve">    2015-16</v>
          </cell>
          <cell r="D8" t="str">
            <v xml:space="preserve">    2016-17</v>
          </cell>
          <cell r="E8" t="str">
            <v xml:space="preserve">    2016-17</v>
          </cell>
          <cell r="F8" t="str">
            <v xml:space="preserve">    2017-18</v>
          </cell>
          <cell r="G8" t="str">
            <v xml:space="preserve">    2018-19</v>
          </cell>
          <cell r="H8" t="str">
            <v xml:space="preserve">    2019-20</v>
          </cell>
          <cell r="I8" t="str">
            <v xml:space="preserve">    2020-21</v>
          </cell>
        </row>
        <row r="9">
          <cell r="B9" t="str">
            <v>OPERATING STATEMENT</v>
          </cell>
          <cell r="C9" t="str">
            <v xml:space="preserve">      $m</v>
          </cell>
          <cell r="D9" t="str">
            <v xml:space="preserve">      $m</v>
          </cell>
          <cell r="E9" t="str">
            <v xml:space="preserve">      $m</v>
          </cell>
          <cell r="F9" t="str">
            <v xml:space="preserve">      $m</v>
          </cell>
          <cell r="G9" t="str">
            <v xml:space="preserve">      $m</v>
          </cell>
          <cell r="H9" t="str">
            <v xml:space="preserve">      $m</v>
          </cell>
          <cell r="I9" t="str">
            <v xml:space="preserve">      $m</v>
          </cell>
        </row>
        <row r="11">
          <cell r="B11" t="str">
            <v>AASB 1049 GFS-GAAP Harmonised Operating Statement for GG Sector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</row>
        <row r="13">
          <cell r="B13" t="str">
            <v>FROM CONTINUING OPERATIONS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</row>
        <row r="14">
          <cell r="B14" t="str">
            <v>Revenue from Transactions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</row>
        <row r="15">
          <cell r="B15" t="str">
            <v>Taxation</v>
          </cell>
          <cell r="C15">
            <v>29081</v>
          </cell>
          <cell r="D15">
            <v>29759</v>
          </cell>
          <cell r="E15">
            <v>30521</v>
          </cell>
          <cell r="F15">
            <v>31672</v>
          </cell>
          <cell r="G15">
            <v>32779</v>
          </cell>
          <cell r="H15">
            <v>34389</v>
          </cell>
          <cell r="I15">
            <v>35760</v>
          </cell>
        </row>
        <row r="16">
          <cell r="B16" t="str">
            <v>Grants and Subsidies</v>
          </cell>
          <cell r="C16" t="str">
            <v>-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</row>
        <row r="17">
          <cell r="B17" t="str">
            <v xml:space="preserve">   Commonwealth General Purpose</v>
          </cell>
          <cell r="C17">
            <v>17637</v>
          </cell>
          <cell r="D17">
            <v>17663</v>
          </cell>
          <cell r="E17">
            <v>17208</v>
          </cell>
          <cell r="F17">
            <v>17592</v>
          </cell>
          <cell r="G17">
            <v>17637</v>
          </cell>
          <cell r="H17">
            <v>17593</v>
          </cell>
          <cell r="I17">
            <v>18286</v>
          </cell>
        </row>
        <row r="18">
          <cell r="B18" t="str">
            <v xml:space="preserve">   Commonwealth National Agreements</v>
          </cell>
          <cell r="C18">
            <v>8927</v>
          </cell>
          <cell r="D18">
            <v>9272</v>
          </cell>
          <cell r="E18">
            <v>9369</v>
          </cell>
          <cell r="F18">
            <v>10082</v>
          </cell>
          <cell r="G18">
            <v>10011</v>
          </cell>
          <cell r="H18">
            <v>10550</v>
          </cell>
          <cell r="I18">
            <v>11099</v>
          </cell>
        </row>
        <row r="19">
          <cell r="B19" t="str">
            <v xml:space="preserve">   Commonwealth National Partnership Payments</v>
          </cell>
          <cell r="C19">
            <v>2608</v>
          </cell>
          <cell r="D19">
            <v>4682</v>
          </cell>
          <cell r="E19">
            <v>4174</v>
          </cell>
          <cell r="F19">
            <v>3469</v>
          </cell>
          <cell r="G19">
            <v>2490</v>
          </cell>
          <cell r="H19">
            <v>1746</v>
          </cell>
          <cell r="I19">
            <v>1166</v>
          </cell>
        </row>
        <row r="20">
          <cell r="B20" t="str">
            <v xml:space="preserve">   Other Grants and Subsidies</v>
          </cell>
          <cell r="C20">
            <v>924</v>
          </cell>
          <cell r="D20">
            <v>727</v>
          </cell>
          <cell r="E20">
            <v>975</v>
          </cell>
          <cell r="F20">
            <v>582</v>
          </cell>
          <cell r="G20">
            <v>832</v>
          </cell>
          <cell r="H20">
            <v>1088</v>
          </cell>
          <cell r="I20">
            <v>1020</v>
          </cell>
        </row>
        <row r="21">
          <cell r="B21" t="str">
            <v>Sale of Goods and Services</v>
          </cell>
          <cell r="C21">
            <v>8380</v>
          </cell>
          <cell r="D21">
            <v>8296</v>
          </cell>
          <cell r="E21">
            <v>8265</v>
          </cell>
          <cell r="F21">
            <v>8653</v>
          </cell>
          <cell r="G21">
            <v>8908</v>
          </cell>
          <cell r="H21">
            <v>8725</v>
          </cell>
          <cell r="I21">
            <v>8271</v>
          </cell>
        </row>
        <row r="22">
          <cell r="B22" t="str">
            <v>Interest Revenue</v>
          </cell>
          <cell r="C22">
            <v>780</v>
          </cell>
          <cell r="D22">
            <v>914</v>
          </cell>
          <cell r="E22">
            <v>820</v>
          </cell>
          <cell r="F22">
            <v>415</v>
          </cell>
          <cell r="G22">
            <v>338</v>
          </cell>
          <cell r="H22">
            <v>337</v>
          </cell>
          <cell r="I22">
            <v>336</v>
          </cell>
        </row>
        <row r="23">
          <cell r="B23" t="str">
            <v>Dividend and Income Tax Equivalents from Other Sectors</v>
          </cell>
          <cell r="C23">
            <v>1280</v>
          </cell>
          <cell r="D23">
            <v>1173</v>
          </cell>
          <cell r="E23">
            <v>1106</v>
          </cell>
          <cell r="F23">
            <v>1620</v>
          </cell>
          <cell r="G23">
            <v>1388</v>
          </cell>
          <cell r="H23">
            <v>1594</v>
          </cell>
          <cell r="I23">
            <v>1405</v>
          </cell>
        </row>
        <row r="24">
          <cell r="B24" t="str">
            <v>Other Dividends and Distributions</v>
          </cell>
          <cell r="C24">
            <v>674</v>
          </cell>
          <cell r="D24">
            <v>441</v>
          </cell>
          <cell r="E24">
            <v>1062</v>
          </cell>
          <cell r="F24">
            <v>1016</v>
          </cell>
          <cell r="G24">
            <v>1252</v>
          </cell>
          <cell r="H24">
            <v>1283</v>
          </cell>
          <cell r="I24">
            <v>1399</v>
          </cell>
        </row>
        <row r="25">
          <cell r="B25" t="str">
            <v>Fines, Regulatory Fees and Other</v>
          </cell>
          <cell r="C25">
            <v>4043</v>
          </cell>
          <cell r="D25">
            <v>4078</v>
          </cell>
          <cell r="E25">
            <v>4317</v>
          </cell>
          <cell r="F25">
            <v>4479</v>
          </cell>
          <cell r="G25">
            <v>4477</v>
          </cell>
          <cell r="H25">
            <v>5011</v>
          </cell>
          <cell r="I25">
            <v>4915</v>
          </cell>
        </row>
        <row r="26">
          <cell r="B26" t="str">
            <v>Total Revenue from Transactions</v>
          </cell>
          <cell r="C26">
            <v>74334</v>
          </cell>
          <cell r="D26">
            <v>77005</v>
          </cell>
          <cell r="E26">
            <v>77817</v>
          </cell>
          <cell r="F26">
            <v>79581</v>
          </cell>
          <cell r="G26">
            <v>80111</v>
          </cell>
          <cell r="H26">
            <v>82316</v>
          </cell>
          <cell r="I26">
            <v>83655</v>
          </cell>
        </row>
        <row r="28">
          <cell r="B28" t="str">
            <v>Expenses from Transactions</v>
          </cell>
          <cell r="C28" t="str">
            <v>-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</row>
        <row r="29">
          <cell r="B29" t="str">
            <v>Employee</v>
          </cell>
          <cell r="C29">
            <v>29618</v>
          </cell>
          <cell r="D29">
            <v>30058</v>
          </cell>
          <cell r="E29">
            <v>30596</v>
          </cell>
          <cell r="F29">
            <v>31346</v>
          </cell>
          <cell r="G29">
            <v>33718</v>
          </cell>
          <cell r="H29">
            <v>35098</v>
          </cell>
          <cell r="I29">
            <v>35862</v>
          </cell>
        </row>
        <row r="30">
          <cell r="B30" t="str">
            <v>Superannuation</v>
          </cell>
          <cell r="C30" t="str">
            <v>-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</row>
        <row r="31">
          <cell r="B31" t="str">
            <v xml:space="preserve">   Superannuation Interest Cost</v>
          </cell>
          <cell r="C31">
            <v>1504</v>
          </cell>
          <cell r="D31">
            <v>1436</v>
          </cell>
          <cell r="E31">
            <v>1326</v>
          </cell>
          <cell r="F31">
            <v>1465</v>
          </cell>
          <cell r="G31">
            <v>1468</v>
          </cell>
          <cell r="H31">
            <v>1458</v>
          </cell>
          <cell r="I31">
            <v>1430</v>
          </cell>
        </row>
        <row r="32">
          <cell r="B32" t="str">
            <v xml:space="preserve">   Other Superannuation</v>
          </cell>
          <cell r="C32">
            <v>2935</v>
          </cell>
          <cell r="D32">
            <v>3001</v>
          </cell>
          <cell r="E32">
            <v>3093</v>
          </cell>
          <cell r="F32">
            <v>3158</v>
          </cell>
          <cell r="G32">
            <v>2959</v>
          </cell>
          <cell r="H32">
            <v>2988</v>
          </cell>
          <cell r="I32">
            <v>3027</v>
          </cell>
        </row>
        <row r="33">
          <cell r="B33" t="str">
            <v>Depreciation and Amortisation</v>
          </cell>
          <cell r="C33">
            <v>4393</v>
          </cell>
          <cell r="D33">
            <v>4608</v>
          </cell>
          <cell r="E33">
            <v>4633</v>
          </cell>
          <cell r="F33">
            <v>4938</v>
          </cell>
          <cell r="G33">
            <v>5183</v>
          </cell>
          <cell r="H33">
            <v>5566</v>
          </cell>
          <cell r="I33">
            <v>5782</v>
          </cell>
        </row>
        <row r="34">
          <cell r="B34" t="str">
            <v>Interest Expense</v>
          </cell>
          <cell r="C34">
            <v>2206</v>
          </cell>
          <cell r="D34">
            <v>2165</v>
          </cell>
          <cell r="E34">
            <v>2105</v>
          </cell>
          <cell r="F34">
            <v>2097</v>
          </cell>
          <cell r="G34">
            <v>2172</v>
          </cell>
          <cell r="H34">
            <v>2525</v>
          </cell>
          <cell r="I34">
            <v>2586</v>
          </cell>
        </row>
        <row r="35">
          <cell r="B35" t="str">
            <v>Income Tax Expense (PNFC &amp; PFC Sectors only) - otherwise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</row>
        <row r="36">
          <cell r="B36" t="str">
            <v>Other Property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</row>
        <row r="37">
          <cell r="B37" t="str">
            <v>Other Operating</v>
          </cell>
          <cell r="C37">
            <v>16862</v>
          </cell>
          <cell r="D37">
            <v>18656</v>
          </cell>
          <cell r="E37">
            <v>18621</v>
          </cell>
          <cell r="F37">
            <v>19416</v>
          </cell>
          <cell r="G37">
            <v>18537</v>
          </cell>
          <cell r="H37">
            <v>18897</v>
          </cell>
          <cell r="I37">
            <v>18924</v>
          </cell>
        </row>
        <row r="38">
          <cell r="B38" t="str">
            <v>Grants and Transfers</v>
          </cell>
          <cell r="C38" t="str">
            <v>-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-</v>
          </cell>
          <cell r="H38" t="str">
            <v>-</v>
          </cell>
          <cell r="I38" t="str">
            <v>-</v>
          </cell>
        </row>
        <row r="39">
          <cell r="B39" t="str">
            <v xml:space="preserve">   Current Grants and Transfers</v>
          </cell>
          <cell r="C39">
            <v>11386</v>
          </cell>
          <cell r="D39">
            <v>12367</v>
          </cell>
          <cell r="E39">
            <v>12110</v>
          </cell>
          <cell r="F39">
            <v>13251</v>
          </cell>
          <cell r="G39">
            <v>13091</v>
          </cell>
          <cell r="H39">
            <v>13521</v>
          </cell>
          <cell r="I39">
            <v>14051</v>
          </cell>
        </row>
        <row r="40">
          <cell r="B40" t="str">
            <v xml:space="preserve">   Capital Grants and Transfers</v>
          </cell>
          <cell r="C40">
            <v>766</v>
          </cell>
          <cell r="D40">
            <v>1000</v>
          </cell>
          <cell r="E40">
            <v>924</v>
          </cell>
          <cell r="F40">
            <v>1250</v>
          </cell>
          <cell r="G40">
            <v>922</v>
          </cell>
          <cell r="H40">
            <v>867</v>
          </cell>
          <cell r="I40">
            <v>691</v>
          </cell>
        </row>
        <row r="41">
          <cell r="B41" t="str">
            <v>Total Expenses from Transactions</v>
          </cell>
          <cell r="C41">
            <v>69671</v>
          </cell>
          <cell r="D41">
            <v>73292</v>
          </cell>
          <cell r="E41">
            <v>73407</v>
          </cell>
          <cell r="F41">
            <v>76920</v>
          </cell>
          <cell r="G41">
            <v>78049</v>
          </cell>
          <cell r="H41">
            <v>80919</v>
          </cell>
          <cell r="I41">
            <v>82352</v>
          </cell>
        </row>
        <row r="43">
          <cell r="B43" t="str">
            <v>TRANSACTIONS FROM DISCONTINUING OPERATIONS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</row>
        <row r="45">
          <cell r="B45" t="str">
            <v>NET RESULT FROM TRANSACTIONS - NOB - BUDGET RESULT FOR GG SECTOR</v>
          </cell>
          <cell r="C45">
            <v>4663</v>
          </cell>
          <cell r="D45">
            <v>3713</v>
          </cell>
          <cell r="E45">
            <v>4410</v>
          </cell>
          <cell r="F45">
            <v>2661</v>
          </cell>
          <cell r="G45">
            <v>2062</v>
          </cell>
          <cell r="H45">
            <v>1397</v>
          </cell>
          <cell r="I45">
            <v>1303</v>
          </cell>
        </row>
        <row r="47">
          <cell r="B47" t="str">
            <v>OTHER ECONOMIC FLOWS - INCLUDED IN THE OPERATING RESULT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</row>
        <row r="48">
          <cell r="B48" t="str">
            <v>Gain/(Loss) from Superannuation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</row>
        <row r="49">
          <cell r="B49" t="str">
            <v>Gain/(Loss) from Other Liabilities</v>
          </cell>
          <cell r="C49">
            <v>-1037</v>
          </cell>
          <cell r="D49">
            <v>277</v>
          </cell>
          <cell r="E49">
            <v>482</v>
          </cell>
          <cell r="F49">
            <v>158</v>
          </cell>
          <cell r="G49">
            <v>157</v>
          </cell>
          <cell r="H49">
            <v>157</v>
          </cell>
          <cell r="I49">
            <v>-1</v>
          </cell>
        </row>
        <row r="50">
          <cell r="B50" t="str">
            <v>Other - Book Value of Privatised Assets Sold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</row>
        <row r="51">
          <cell r="B51" t="str">
            <v>Other Net Gains/(Losses)</v>
          </cell>
          <cell r="C51">
            <v>-127</v>
          </cell>
          <cell r="D51">
            <v>-182</v>
          </cell>
          <cell r="E51">
            <v>566</v>
          </cell>
          <cell r="F51">
            <v>246</v>
          </cell>
          <cell r="G51">
            <v>430</v>
          </cell>
          <cell r="H51">
            <v>506</v>
          </cell>
          <cell r="I51">
            <v>531</v>
          </cell>
        </row>
        <row r="52">
          <cell r="B52" t="str">
            <v>Share of Earnings from Associates (excluding Dividends)</v>
          </cell>
          <cell r="C52">
            <v>11</v>
          </cell>
          <cell r="D52">
            <v>13</v>
          </cell>
          <cell r="E52">
            <v>50</v>
          </cell>
          <cell r="F52">
            <v>6</v>
          </cell>
          <cell r="G52">
            <v>52</v>
          </cell>
          <cell r="H52">
            <v>46</v>
          </cell>
          <cell r="I52">
            <v>92</v>
          </cell>
        </row>
        <row r="53">
          <cell r="B53" t="str">
            <v>Dividends from Asset Sale Proceeds</v>
          </cell>
          <cell r="C53" t="str">
            <v>-</v>
          </cell>
          <cell r="D53">
            <v>272</v>
          </cell>
          <cell r="E53">
            <v>115</v>
          </cell>
          <cell r="F53">
            <v>193</v>
          </cell>
          <cell r="G53" t="str">
            <v>-</v>
          </cell>
          <cell r="H53" t="str">
            <v>-</v>
          </cell>
          <cell r="I53" t="str">
            <v>-</v>
          </cell>
        </row>
        <row r="54">
          <cell r="B54" t="str">
            <v>Other (inc deferred inc.tax of S0002)</v>
          </cell>
          <cell r="C54">
            <v>-752</v>
          </cell>
          <cell r="D54">
            <v>63</v>
          </cell>
          <cell r="E54">
            <v>-1619</v>
          </cell>
          <cell r="F54">
            <v>115</v>
          </cell>
          <cell r="G54">
            <v>105</v>
          </cell>
          <cell r="H54">
            <v>150</v>
          </cell>
          <cell r="I54">
            <v>174</v>
          </cell>
        </row>
        <row r="55">
          <cell r="B55" t="str">
            <v>Discontinuing Operations - Other Economic Flows</v>
          </cell>
          <cell r="C55" t="str">
            <v>-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</row>
        <row r="65">
          <cell r="B65" t="str">
            <v>OPERATING STATEMENT</v>
          </cell>
          <cell r="C65" t="str">
            <v xml:space="preserve">    Actuals</v>
          </cell>
          <cell r="D65" t="str">
            <v xml:space="preserve">    Budget</v>
          </cell>
          <cell r="E65" t="str">
            <v xml:space="preserve">  Projection</v>
          </cell>
          <cell r="F65" t="str">
            <v xml:space="preserve">    Budget</v>
          </cell>
          <cell r="G65" t="str">
            <v xml:space="preserve">    Budget</v>
          </cell>
          <cell r="H65" t="str">
            <v xml:space="preserve">    Budget</v>
          </cell>
          <cell r="I65" t="str">
            <v xml:space="preserve">    Budget</v>
          </cell>
        </row>
        <row r="66">
          <cell r="C66" t="str">
            <v xml:space="preserve">    2015-16</v>
          </cell>
          <cell r="D66" t="str">
            <v xml:space="preserve">    2016-17</v>
          </cell>
          <cell r="E66" t="str">
            <v xml:space="preserve">    2016-17</v>
          </cell>
          <cell r="F66" t="str">
            <v xml:space="preserve">    2017-18</v>
          </cell>
          <cell r="G66" t="str">
            <v xml:space="preserve">    2018-19</v>
          </cell>
          <cell r="H66" t="str">
            <v xml:space="preserve">    2019-20</v>
          </cell>
          <cell r="I66" t="str">
            <v xml:space="preserve">    2020-21</v>
          </cell>
        </row>
        <row r="67">
          <cell r="B67" t="str">
            <v>OPERATING STATEMENT</v>
          </cell>
          <cell r="C67" t="str">
            <v xml:space="preserve">      $m</v>
          </cell>
          <cell r="D67" t="str">
            <v xml:space="preserve">      $m</v>
          </cell>
          <cell r="E67" t="str">
            <v xml:space="preserve">      $m</v>
          </cell>
          <cell r="F67" t="str">
            <v xml:space="preserve">      $m</v>
          </cell>
          <cell r="G67" t="str">
            <v xml:space="preserve">      $m</v>
          </cell>
          <cell r="H67" t="str">
            <v xml:space="preserve">      $m</v>
          </cell>
          <cell r="I67" t="str">
            <v xml:space="preserve">      $m</v>
          </cell>
        </row>
        <row r="69">
          <cell r="B69" t="str">
            <v>Other Economic Flows - included in Operating Result</v>
          </cell>
          <cell r="C69">
            <v>-1904</v>
          </cell>
          <cell r="D69">
            <v>443</v>
          </cell>
          <cell r="E69">
            <v>-406</v>
          </cell>
          <cell r="F69">
            <v>718</v>
          </cell>
          <cell r="G69">
            <v>744</v>
          </cell>
          <cell r="H69">
            <v>859</v>
          </cell>
          <cell r="I69">
            <v>796</v>
          </cell>
        </row>
        <row r="71">
          <cell r="B71" t="str">
            <v>OPERATING RESULT</v>
          </cell>
          <cell r="C71">
            <v>2758</v>
          </cell>
          <cell r="D71">
            <v>4156</v>
          </cell>
          <cell r="E71">
            <v>4005</v>
          </cell>
          <cell r="F71">
            <v>3379</v>
          </cell>
          <cell r="G71">
            <v>2806</v>
          </cell>
          <cell r="H71">
            <v>2256</v>
          </cell>
          <cell r="I71">
            <v>2099</v>
          </cell>
        </row>
        <row r="73">
          <cell r="B73" t="str">
            <v>OTHER ECONOMIC FLOWS  OTHER NON OWNER MOVEMENTS IN EQUITY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</row>
        <row r="74">
          <cell r="B74" t="str">
            <v>Superannuation Actuarial gain/(loss)</v>
          </cell>
          <cell r="C74">
            <v>-14331</v>
          </cell>
          <cell r="D74">
            <v>8657</v>
          </cell>
          <cell r="E74">
            <v>14584</v>
          </cell>
          <cell r="F74">
            <v>4316</v>
          </cell>
          <cell r="G74">
            <v>4293</v>
          </cell>
          <cell r="H74">
            <v>3976</v>
          </cell>
          <cell r="I74">
            <v>1592</v>
          </cell>
        </row>
        <row r="75">
          <cell r="B75" t="str">
            <v>Deferred Tax direct to Equity</v>
          </cell>
          <cell r="C75" t="str">
            <v>-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</row>
        <row r="76">
          <cell r="B76" t="str">
            <v>Revaluations</v>
          </cell>
          <cell r="C76">
            <v>2709</v>
          </cell>
          <cell r="D76">
            <v>4161</v>
          </cell>
          <cell r="E76">
            <v>4571</v>
          </cell>
          <cell r="F76">
            <v>4048</v>
          </cell>
          <cell r="G76">
            <v>4150</v>
          </cell>
          <cell r="H76">
            <v>4018</v>
          </cell>
          <cell r="I76">
            <v>4020</v>
          </cell>
        </row>
        <row r="77">
          <cell r="B77" t="str">
            <v>Net Gain/(loss) on equity investments in other sectors (inc equityTfr)</v>
          </cell>
          <cell r="C77">
            <v>12553</v>
          </cell>
          <cell r="D77">
            <v>4906</v>
          </cell>
          <cell r="E77">
            <v>22972</v>
          </cell>
          <cell r="F77">
            <v>3556</v>
          </cell>
          <cell r="G77">
            <v>4170</v>
          </cell>
          <cell r="H77">
            <v>3618</v>
          </cell>
          <cell r="I77">
            <v>4191</v>
          </cell>
        </row>
        <row r="78">
          <cell r="B78" t="str">
            <v>Net Gain/(loss) on financial instruments at fair value</v>
          </cell>
          <cell r="C78">
            <v>1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</row>
        <row r="79">
          <cell r="B79" t="str">
            <v>Other (basically Q754 a/cs)</v>
          </cell>
          <cell r="C79">
            <v>-3217</v>
          </cell>
          <cell r="D79">
            <v>-3945</v>
          </cell>
          <cell r="E79">
            <v>-3075</v>
          </cell>
          <cell r="F79">
            <v>-2406</v>
          </cell>
          <cell r="G79">
            <v>-2377</v>
          </cell>
          <cell r="H79">
            <v>-2140</v>
          </cell>
          <cell r="I79">
            <v>-1494</v>
          </cell>
        </row>
        <row r="80">
          <cell r="B80" t="str">
            <v>Other Economic Flows - other non owner movements in equity</v>
          </cell>
          <cell r="C80">
            <v>-2286</v>
          </cell>
          <cell r="D80">
            <v>13778</v>
          </cell>
          <cell r="E80">
            <v>39052</v>
          </cell>
          <cell r="F80">
            <v>9513</v>
          </cell>
          <cell r="G80">
            <v>10236</v>
          </cell>
          <cell r="H80">
            <v>9473</v>
          </cell>
          <cell r="I80">
            <v>8309</v>
          </cell>
        </row>
        <row r="82">
          <cell r="B82" t="str">
            <v>COMPREHENSIVE RESULT-TOTAL CHANGE IN NET WORTH BEFORE TRANS WITH OWNER</v>
          </cell>
          <cell r="C82">
            <v>473</v>
          </cell>
          <cell r="D82">
            <v>17934</v>
          </cell>
          <cell r="E82">
            <v>43057</v>
          </cell>
          <cell r="F82">
            <v>12892</v>
          </cell>
          <cell r="G82">
            <v>13042</v>
          </cell>
          <cell r="H82">
            <v>11729</v>
          </cell>
          <cell r="I82">
            <v>10408</v>
          </cell>
        </row>
        <row r="85">
          <cell r="B85" t="str">
            <v>KEY FISCAL AGGREGATES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</row>
        <row r="86">
          <cell r="B86" t="str">
            <v>COMPREHENSIVE RESULT-TOTAL CHANGE IN NET WORTH BEFORE TRANS WITH OWNER</v>
          </cell>
          <cell r="C86">
            <v>473</v>
          </cell>
          <cell r="D86">
            <v>17934</v>
          </cell>
          <cell r="E86">
            <v>43057</v>
          </cell>
          <cell r="F86">
            <v>12892</v>
          </cell>
          <cell r="G86">
            <v>13042</v>
          </cell>
          <cell r="H86">
            <v>11729</v>
          </cell>
          <cell r="I86">
            <v>10408</v>
          </cell>
        </row>
        <row r="87">
          <cell r="B87" t="str">
            <v>Less: Net Other Economic Flows (to operating result and to equity)</v>
          </cell>
          <cell r="C87">
            <v>4190</v>
          </cell>
          <cell r="D87">
            <v>-14221</v>
          </cell>
          <cell r="E87">
            <v>-38646</v>
          </cell>
          <cell r="F87">
            <v>-10231</v>
          </cell>
          <cell r="G87">
            <v>-10981</v>
          </cell>
          <cell r="H87">
            <v>-10332</v>
          </cell>
          <cell r="I87">
            <v>-9105</v>
          </cell>
        </row>
        <row r="88">
          <cell r="B88" t="str">
            <v>NET OPERATING BALANCE</v>
          </cell>
          <cell r="C88">
            <v>4663</v>
          </cell>
          <cell r="D88">
            <v>3713</v>
          </cell>
          <cell r="E88">
            <v>4410</v>
          </cell>
          <cell r="F88">
            <v>2661</v>
          </cell>
          <cell r="G88">
            <v>2062</v>
          </cell>
          <cell r="H88">
            <v>1397</v>
          </cell>
          <cell r="I88">
            <v>1303</v>
          </cell>
        </row>
        <row r="89">
          <cell r="B89" t="str">
            <v>Less: Net Acquisition of Non-Financial Assets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</row>
        <row r="90">
          <cell r="B90" t="str">
            <v xml:space="preserve">     Purchases of Non-Financial Assets</v>
          </cell>
          <cell r="C90">
            <v>9032</v>
          </cell>
          <cell r="D90">
            <v>12358</v>
          </cell>
          <cell r="E90">
            <v>10862</v>
          </cell>
          <cell r="F90">
            <v>14335</v>
          </cell>
          <cell r="G90">
            <v>13021</v>
          </cell>
          <cell r="H90">
            <v>10491</v>
          </cell>
          <cell r="I90">
            <v>7714</v>
          </cell>
        </row>
        <row r="91">
          <cell r="B91" t="str">
            <v xml:space="preserve">     Sales of Non-financial Assets</v>
          </cell>
          <cell r="C91">
            <v>-892</v>
          </cell>
          <cell r="D91">
            <v>-663</v>
          </cell>
          <cell r="E91">
            <v>-3652</v>
          </cell>
          <cell r="F91">
            <v>-529</v>
          </cell>
          <cell r="G91">
            <v>-596</v>
          </cell>
          <cell r="H91">
            <v>-275</v>
          </cell>
          <cell r="I91">
            <v>-154</v>
          </cell>
        </row>
        <row r="92">
          <cell r="B92" t="str">
            <v xml:space="preserve">     Less: Depreciation</v>
          </cell>
          <cell r="C92">
            <v>-4393</v>
          </cell>
          <cell r="D92">
            <v>-4608</v>
          </cell>
          <cell r="E92">
            <v>-4633</v>
          </cell>
          <cell r="F92">
            <v>-4938</v>
          </cell>
          <cell r="G92">
            <v>-5183</v>
          </cell>
          <cell r="H92">
            <v>-5566</v>
          </cell>
          <cell r="I92">
            <v>-5782</v>
          </cell>
        </row>
        <row r="93">
          <cell r="B93" t="str">
            <v xml:space="preserve">     Plus: Change in inventories</v>
          </cell>
          <cell r="C93">
            <v>24</v>
          </cell>
          <cell r="D93">
            <v>-8</v>
          </cell>
          <cell r="E93">
            <v>14</v>
          </cell>
          <cell r="F93">
            <v>-15</v>
          </cell>
          <cell r="G93">
            <v>-8</v>
          </cell>
          <cell r="H93">
            <v>-13</v>
          </cell>
          <cell r="I93">
            <v>-8</v>
          </cell>
        </row>
        <row r="94">
          <cell r="B94" t="str">
            <v xml:space="preserve">     Plus: Other Movements in Non-financial Assets</v>
          </cell>
          <cell r="C94" t="str">
            <v>-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-</v>
          </cell>
          <cell r="H94" t="str">
            <v>-</v>
          </cell>
          <cell r="I94" t="str">
            <v>-</v>
          </cell>
        </row>
        <row r="95">
          <cell r="B95" t="str">
            <v xml:space="preserve">              - assets aquired using finance leases</v>
          </cell>
          <cell r="C95">
            <v>304</v>
          </cell>
          <cell r="D95">
            <v>156</v>
          </cell>
          <cell r="E95">
            <v>102</v>
          </cell>
          <cell r="F95">
            <v>181</v>
          </cell>
          <cell r="G95">
            <v>3474</v>
          </cell>
          <cell r="H95">
            <v>216</v>
          </cell>
          <cell r="I95">
            <v>222</v>
          </cell>
        </row>
        <row r="96">
          <cell r="B96" t="str">
            <v xml:space="preserve">              - other</v>
          </cell>
          <cell r="C96">
            <v>184</v>
          </cell>
          <cell r="D96">
            <v>106</v>
          </cell>
          <cell r="E96">
            <v>119</v>
          </cell>
          <cell r="F96">
            <v>108</v>
          </cell>
          <cell r="G96">
            <v>92</v>
          </cell>
          <cell r="H96">
            <v>394</v>
          </cell>
          <cell r="I96">
            <v>429</v>
          </cell>
        </row>
        <row r="97">
          <cell r="B97" t="str">
            <v xml:space="preserve">    Equals Total Net Acquisition of Non-Financial Assets</v>
          </cell>
          <cell r="C97">
            <v>4259</v>
          </cell>
          <cell r="D97">
            <v>7341</v>
          </cell>
          <cell r="E97">
            <v>2812</v>
          </cell>
          <cell r="F97">
            <v>9143</v>
          </cell>
          <cell r="G97">
            <v>10800</v>
          </cell>
          <cell r="H97">
            <v>5247</v>
          </cell>
          <cell r="I97">
            <v>2422</v>
          </cell>
        </row>
        <row r="99">
          <cell r="B99" t="str">
            <v>EQUALS: NET LENDING/(BORROWING)</v>
          </cell>
          <cell r="C99">
            <v>404</v>
          </cell>
          <cell r="D99">
            <v>-3628</v>
          </cell>
          <cell r="E99">
            <v>1598</v>
          </cell>
          <cell r="F99">
            <v>-6482</v>
          </cell>
          <cell r="G99">
            <v>-8738</v>
          </cell>
          <cell r="H99">
            <v>-3850</v>
          </cell>
          <cell r="I99">
            <v>-1119</v>
          </cell>
        </row>
        <row r="101">
          <cell r="B101" t="str">
            <v>**********************************************************************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</row>
        <row r="103">
          <cell r="B103" t="str">
            <v>OTHER AGGREGATES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</row>
        <row r="104">
          <cell r="B104" t="str">
            <v>CAPITAL EXPENDITURE  (= purchase of NFA plus new finance leased assets</v>
          </cell>
          <cell r="C104">
            <v>9336</v>
          </cell>
          <cell r="D104">
            <v>12514</v>
          </cell>
          <cell r="E104">
            <v>10963</v>
          </cell>
          <cell r="F104">
            <v>14517</v>
          </cell>
          <cell r="G104">
            <v>16495</v>
          </cell>
          <cell r="H104">
            <v>10707</v>
          </cell>
          <cell r="I104">
            <v>7936</v>
          </cell>
        </row>
        <row r="106">
          <cell r="B106" t="str">
            <v>Prior Yr.Adjs for Changes in Acctg Policy and Correction of Errors</v>
          </cell>
          <cell r="C106" t="str">
            <v>-</v>
          </cell>
          <cell r="D106" t="str">
            <v>-</v>
          </cell>
          <cell r="E106" t="str">
            <v>-</v>
          </cell>
          <cell r="F106" t="str">
            <v>-</v>
          </cell>
          <cell r="G106" t="str">
            <v>-</v>
          </cell>
          <cell r="H106" t="str">
            <v>-</v>
          </cell>
          <cell r="I106" t="str">
            <v>-</v>
          </cell>
        </row>
        <row r="107">
          <cell r="B107" t="str">
            <v>Adjustments to Accumulated Funds (Q753 a/cs)</v>
          </cell>
          <cell r="C107">
            <v>-5</v>
          </cell>
          <cell r="D107">
            <v>-403</v>
          </cell>
          <cell r="E107" t="str">
            <v>-</v>
          </cell>
          <cell r="F107" t="str">
            <v>-</v>
          </cell>
          <cell r="G107" t="str">
            <v>-</v>
          </cell>
          <cell r="H107">
            <v>-191</v>
          </cell>
          <cell r="I107">
            <v>-191</v>
          </cell>
        </row>
        <row r="108">
          <cell r="B108" t="str">
            <v>Adjustments to AR Reserves (S10040-49)</v>
          </cell>
          <cell r="C108" t="str">
            <v>-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</row>
        <row r="109">
          <cell r="B109" t="str">
            <v>Adj to Av4Sale Resve - Net G/L on equity invests in PTE/PFE sectors</v>
          </cell>
          <cell r="C109" t="str">
            <v>-</v>
          </cell>
          <cell r="D109" t="str">
            <v>-</v>
          </cell>
          <cell r="E109" t="str">
            <v>-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</row>
        <row r="110">
          <cell r="B110" t="str">
            <v>Total Adjustments for Changes in Accounting Policy and Corrections of</v>
          </cell>
          <cell r="C110">
            <v>-5</v>
          </cell>
          <cell r="D110">
            <v>-403</v>
          </cell>
          <cell r="E110" t="str">
            <v>-</v>
          </cell>
          <cell r="F110" t="str">
            <v>-</v>
          </cell>
          <cell r="G110" t="str">
            <v>-</v>
          </cell>
          <cell r="H110">
            <v>-191</v>
          </cell>
          <cell r="I110">
            <v>-191</v>
          </cell>
        </row>
        <row r="112">
          <cell r="B112" t="str">
            <v>Backcast Prior Year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</row>
        <row r="113">
          <cell r="B113" t="str">
            <v xml:space="preserve">    Low Interest Loan net revenue/expense - April 2013</v>
          </cell>
          <cell r="C113">
            <v>-7</v>
          </cell>
          <cell r="D113">
            <v>-9</v>
          </cell>
          <cell r="E113">
            <v>-8</v>
          </cell>
          <cell r="F113">
            <v>-9</v>
          </cell>
          <cell r="G113">
            <v>-8</v>
          </cell>
          <cell r="H113">
            <v>-8</v>
          </cell>
          <cell r="I113">
            <v>-8</v>
          </cell>
        </row>
        <row r="123">
          <cell r="B123" t="str">
            <v>OPERATING STATEMENT</v>
          </cell>
          <cell r="C123" t="str">
            <v xml:space="preserve">    Actuals</v>
          </cell>
          <cell r="D123" t="str">
            <v xml:space="preserve">    Budget</v>
          </cell>
          <cell r="E123" t="str">
            <v xml:space="preserve">  Projection</v>
          </cell>
          <cell r="F123" t="str">
            <v xml:space="preserve">    Budget</v>
          </cell>
          <cell r="G123" t="str">
            <v xml:space="preserve">    Budget</v>
          </cell>
          <cell r="H123" t="str">
            <v xml:space="preserve">    Budget</v>
          </cell>
          <cell r="I123" t="str">
            <v xml:space="preserve">    Budget</v>
          </cell>
        </row>
        <row r="124">
          <cell r="C124" t="str">
            <v xml:space="preserve">    2015-16</v>
          </cell>
          <cell r="D124" t="str">
            <v xml:space="preserve">    2016-17</v>
          </cell>
          <cell r="E124" t="str">
            <v xml:space="preserve">    2016-17</v>
          </cell>
          <cell r="F124" t="str">
            <v xml:space="preserve">    2017-18</v>
          </cell>
          <cell r="G124" t="str">
            <v xml:space="preserve">    2018-19</v>
          </cell>
          <cell r="H124" t="str">
            <v xml:space="preserve">    2019-20</v>
          </cell>
          <cell r="I124" t="str">
            <v xml:space="preserve">    2020-21</v>
          </cell>
        </row>
        <row r="125">
          <cell r="B125" t="str">
            <v>OPERATING STATEMENT</v>
          </cell>
          <cell r="C125" t="str">
            <v xml:space="preserve">      $m</v>
          </cell>
          <cell r="D125" t="str">
            <v xml:space="preserve">      $m</v>
          </cell>
          <cell r="E125" t="str">
            <v xml:space="preserve">      $m</v>
          </cell>
          <cell r="F125" t="str">
            <v xml:space="preserve">      $m</v>
          </cell>
          <cell r="G125" t="str">
            <v xml:space="preserve">      $m</v>
          </cell>
          <cell r="H125" t="str">
            <v xml:space="preserve">      $m</v>
          </cell>
          <cell r="I125" t="str">
            <v xml:space="preserve">      $m</v>
          </cell>
        </row>
        <row r="127">
          <cell r="B127" t="str">
            <v xml:space="preserve">    Low Interest Loan net grant revenue/expense - April 2013</v>
          </cell>
          <cell r="C127" t="str">
            <v>-</v>
          </cell>
          <cell r="D127">
            <v>15</v>
          </cell>
          <cell r="E127">
            <v>12</v>
          </cell>
          <cell r="F127">
            <v>12</v>
          </cell>
          <cell r="G127">
            <v>12</v>
          </cell>
          <cell r="H127">
            <v>10</v>
          </cell>
          <cell r="I127">
            <v>3</v>
          </cell>
        </row>
        <row r="129">
          <cell r="B129" t="str">
            <v>FOR 2009-10 OUTCOMES</v>
          </cell>
          <cell r="C129" t="str">
            <v>-</v>
          </cell>
          <cell r="D129" t="str">
            <v>-</v>
          </cell>
          <cell r="E129" t="str">
            <v>-</v>
          </cell>
          <cell r="F129" t="str">
            <v>-</v>
          </cell>
          <cell r="G129" t="str">
            <v>-</v>
          </cell>
          <cell r="H129" t="str">
            <v>-</v>
          </cell>
          <cell r="I129" t="str">
            <v>-</v>
          </cell>
        </row>
        <row r="130">
          <cell r="B130" t="str">
            <v>Direct equity transfers with PNFCs/PFCs exc dividends</v>
          </cell>
          <cell r="C130">
            <v>6144</v>
          </cell>
          <cell r="D130" t="str">
            <v>-</v>
          </cell>
          <cell r="E130">
            <v>14012</v>
          </cell>
          <cell r="F130">
            <v>732</v>
          </cell>
          <cell r="G130">
            <v>6</v>
          </cell>
          <cell r="H130" t="str">
            <v>-</v>
          </cell>
          <cell r="I130">
            <v>-1</v>
          </cell>
        </row>
        <row r="131">
          <cell r="B131" t="str">
            <v>TOTAL CHANGE IN NET WORTH - after changes in Acctg Policies</v>
          </cell>
          <cell r="C131">
            <v>468</v>
          </cell>
          <cell r="D131">
            <v>17531</v>
          </cell>
          <cell r="E131">
            <v>43057</v>
          </cell>
          <cell r="F131">
            <v>12892</v>
          </cell>
          <cell r="G131">
            <v>13042</v>
          </cell>
          <cell r="H131">
            <v>11538</v>
          </cell>
          <cell r="I131">
            <v>10217</v>
          </cell>
        </row>
        <row r="133">
          <cell r="B133" t="str">
            <v>DISSECTION OF FINES, FEES AND OTHER REVENUES (For EFD's NCOS fiscal ta</v>
          </cell>
          <cell r="C133" t="str">
            <v>-</v>
          </cell>
          <cell r="D133" t="str">
            <v>-</v>
          </cell>
          <cell r="E133" t="str">
            <v>-</v>
          </cell>
          <cell r="F133" t="str">
            <v>-</v>
          </cell>
          <cell r="G133" t="str">
            <v>-</v>
          </cell>
          <cell r="H133" t="str">
            <v>-</v>
          </cell>
          <cell r="I133" t="str">
            <v>-</v>
          </cell>
        </row>
        <row r="134">
          <cell r="B134" t="str">
            <v>State Revenues component - excluded from NCOS</v>
          </cell>
          <cell r="C134">
            <v>2762</v>
          </cell>
          <cell r="D134">
            <v>2772</v>
          </cell>
          <cell r="E134">
            <v>2971</v>
          </cell>
          <cell r="F134">
            <v>3087</v>
          </cell>
          <cell r="G134">
            <v>3054</v>
          </cell>
          <cell r="H134">
            <v>3279</v>
          </cell>
          <cell r="I134">
            <v>3344</v>
          </cell>
        </row>
        <row r="135">
          <cell r="B135" t="str">
            <v>Other Operating Revenues component --&gt; NCOS</v>
          </cell>
          <cell r="C135">
            <v>1281</v>
          </cell>
          <cell r="D135">
            <v>1305</v>
          </cell>
          <cell r="E135">
            <v>1346</v>
          </cell>
          <cell r="F135">
            <v>1393</v>
          </cell>
          <cell r="G135">
            <v>1422</v>
          </cell>
          <cell r="H135">
            <v>1731</v>
          </cell>
          <cell r="I135">
            <v>1571</v>
          </cell>
        </row>
        <row r="136">
          <cell r="B136" t="str">
            <v>Total Fines Fees and Other Revenues</v>
          </cell>
          <cell r="C136">
            <v>4043</v>
          </cell>
          <cell r="D136">
            <v>4078</v>
          </cell>
          <cell r="E136">
            <v>4317</v>
          </cell>
          <cell r="F136">
            <v>4479</v>
          </cell>
          <cell r="G136">
            <v>4477</v>
          </cell>
          <cell r="H136">
            <v>5011</v>
          </cell>
          <cell r="I136">
            <v>4915</v>
          </cell>
        </row>
        <row r="139">
          <cell r="B139" t="str">
            <v>CONVERGENCE DIFFERENCES - OPERATING STATEMENT KFAs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</row>
        <row r="140">
          <cell r="B140" t="str">
            <v>Net Operating Result per AASB1049</v>
          </cell>
          <cell r="C140">
            <v>4663</v>
          </cell>
          <cell r="D140">
            <v>3713</v>
          </cell>
          <cell r="E140">
            <v>4410</v>
          </cell>
          <cell r="F140">
            <v>2661</v>
          </cell>
          <cell r="G140">
            <v>2062</v>
          </cell>
          <cell r="H140">
            <v>1397</v>
          </cell>
          <cell r="I140">
            <v>1303</v>
          </cell>
        </row>
        <row r="141">
          <cell r="B141" t="str">
            <v xml:space="preserve">   2006 C/w Land Devt Road Grant accrued in GFS-cash basis in AASB 104</v>
          </cell>
          <cell r="C141" t="str">
            <v>-</v>
          </cell>
          <cell r="D141" t="str">
            <v>-</v>
          </cell>
          <cell r="E141" t="str">
            <v>-</v>
          </cell>
          <cell r="F141" t="str">
            <v>-</v>
          </cell>
          <cell r="G141" t="str">
            <v>-</v>
          </cell>
          <cell r="H141" t="str">
            <v>-</v>
          </cell>
          <cell r="I141" t="str">
            <v>-</v>
          </cell>
        </row>
        <row r="142">
          <cell r="B142" t="str">
            <v xml:space="preserve">   Low Int (Concession) Loans-grant/int component AASB1049 31(b)(iii)</v>
          </cell>
          <cell r="C142">
            <v>-7</v>
          </cell>
          <cell r="D142">
            <v>7</v>
          </cell>
          <cell r="E142">
            <v>4</v>
          </cell>
          <cell r="F142">
            <v>3</v>
          </cell>
          <cell r="G142">
            <v>4</v>
          </cell>
          <cell r="H142">
            <v>2</v>
          </cell>
          <cell r="I142">
            <v>-4</v>
          </cell>
        </row>
        <row r="143">
          <cell r="B143" t="str">
            <v xml:space="preserve">   PNFC/PFC only - Dividends accrued in GFS result-not in AASB 1049 re</v>
          </cell>
          <cell r="C143" t="str">
            <v>-</v>
          </cell>
          <cell r="D143" t="str">
            <v>-</v>
          </cell>
          <cell r="E143" t="str">
            <v>-</v>
          </cell>
          <cell r="F143" t="str">
            <v>-</v>
          </cell>
          <cell r="G143" t="str">
            <v>-</v>
          </cell>
          <cell r="H143" t="str">
            <v>-</v>
          </cell>
          <cell r="I143">
            <v>-1</v>
          </cell>
        </row>
        <row r="144">
          <cell r="B144" t="str">
            <v>Historical ZADJ backcast a/cs, in GFS-not in AGAAP</v>
          </cell>
          <cell r="C144" t="str">
            <v>-</v>
          </cell>
          <cell r="D144" t="str">
            <v>-</v>
          </cell>
          <cell r="E144" t="str">
            <v>-</v>
          </cell>
          <cell r="F144" t="str">
            <v>-</v>
          </cell>
          <cell r="G144" t="str">
            <v>-</v>
          </cell>
          <cell r="H144" t="str">
            <v>-</v>
          </cell>
          <cell r="I144" t="str">
            <v>-</v>
          </cell>
        </row>
        <row r="145">
          <cell r="B145" t="str">
            <v>Net Operating Result per GFS (calculated)</v>
          </cell>
          <cell r="C145">
            <v>4656</v>
          </cell>
          <cell r="D145">
            <v>3720</v>
          </cell>
          <cell r="E145">
            <v>4414</v>
          </cell>
          <cell r="F145">
            <v>2664</v>
          </cell>
          <cell r="G145">
            <v>2065</v>
          </cell>
          <cell r="H145">
            <v>1399</v>
          </cell>
          <cell r="I145">
            <v>1298</v>
          </cell>
        </row>
        <row r="146">
          <cell r="B146" t="str">
            <v>GFS Net Operating Result (using ETF ranges)</v>
          </cell>
          <cell r="C146">
            <v>4723</v>
          </cell>
          <cell r="D146">
            <v>3720</v>
          </cell>
          <cell r="E146">
            <v>4417</v>
          </cell>
          <cell r="F146">
            <v>2664</v>
          </cell>
          <cell r="G146">
            <v>2065</v>
          </cell>
          <cell r="H146">
            <v>1399</v>
          </cell>
          <cell r="I146">
            <v>1298</v>
          </cell>
        </row>
        <row r="147">
          <cell r="B147" t="str">
            <v>Difference - should be Zero</v>
          </cell>
          <cell r="C147">
            <v>-67</v>
          </cell>
          <cell r="D147" t="str">
            <v>-</v>
          </cell>
          <cell r="E147">
            <v>-3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</row>
        <row r="149">
          <cell r="B149" t="str">
            <v>Net Lending/(Borrowing) Result per AASB1049</v>
          </cell>
          <cell r="C149">
            <v>404</v>
          </cell>
          <cell r="D149">
            <v>-3628</v>
          </cell>
          <cell r="E149">
            <v>1598</v>
          </cell>
          <cell r="F149">
            <v>-6482</v>
          </cell>
          <cell r="G149">
            <v>-8738</v>
          </cell>
          <cell r="H149">
            <v>-3850</v>
          </cell>
          <cell r="I149">
            <v>-1119</v>
          </cell>
        </row>
        <row r="150">
          <cell r="B150" t="str">
            <v xml:space="preserve">   2006 C/w Land Devt Road Grant accrued in GFS- cash basis in AASB 10</v>
          </cell>
          <cell r="C150" t="str">
            <v>-</v>
          </cell>
          <cell r="D150" t="str">
            <v>-</v>
          </cell>
          <cell r="E150" t="str">
            <v>-</v>
          </cell>
          <cell r="F150" t="str">
            <v>-</v>
          </cell>
          <cell r="G150" t="str">
            <v>-</v>
          </cell>
          <cell r="H150" t="str">
            <v>-</v>
          </cell>
          <cell r="I150" t="str">
            <v>-</v>
          </cell>
        </row>
        <row r="151">
          <cell r="B151" t="str">
            <v xml:space="preserve">   Low Int (Concession) Loans-grant/int component AASB1049 31(b)(iii)</v>
          </cell>
          <cell r="C151">
            <v>-7</v>
          </cell>
          <cell r="D151">
            <v>7</v>
          </cell>
          <cell r="E151">
            <v>4</v>
          </cell>
          <cell r="F151">
            <v>3</v>
          </cell>
          <cell r="G151">
            <v>4</v>
          </cell>
          <cell r="H151">
            <v>2</v>
          </cell>
          <cell r="I151">
            <v>-4</v>
          </cell>
        </row>
        <row r="152">
          <cell r="B152" t="str">
            <v xml:space="preserve">   PNFC/PFC only - Dividends accrued in GFS result- not in AASB 1049 r</v>
          </cell>
          <cell r="C152" t="str">
            <v>-</v>
          </cell>
          <cell r="D152" t="str">
            <v>-</v>
          </cell>
          <cell r="E152" t="str">
            <v>-</v>
          </cell>
          <cell r="F152" t="str">
            <v>-</v>
          </cell>
          <cell r="G152" t="str">
            <v>-</v>
          </cell>
          <cell r="H152" t="str">
            <v>-</v>
          </cell>
          <cell r="I152">
            <v>-1</v>
          </cell>
        </row>
        <row r="153">
          <cell r="B153" t="str">
            <v>Historical ZADJ backcast a/cs, in GFS-not in AGAAP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</row>
        <row r="154">
          <cell r="B154" t="str">
            <v>Net Lending/(Borrowing) Result per GFS (calculated)</v>
          </cell>
          <cell r="C154">
            <v>397</v>
          </cell>
          <cell r="D154">
            <v>-3622</v>
          </cell>
          <cell r="E154">
            <v>1602</v>
          </cell>
          <cell r="F154">
            <v>-6478</v>
          </cell>
          <cell r="G154">
            <v>-8735</v>
          </cell>
          <cell r="H154">
            <v>-3848</v>
          </cell>
          <cell r="I154">
            <v>-1124</v>
          </cell>
        </row>
        <row r="155">
          <cell r="B155" t="str">
            <v>GFS Net Lending/(Borrowing) Result (using ETF ranges)</v>
          </cell>
          <cell r="C155">
            <v>464</v>
          </cell>
          <cell r="D155">
            <v>-3622</v>
          </cell>
          <cell r="E155">
            <v>1605</v>
          </cell>
          <cell r="F155">
            <v>-6478</v>
          </cell>
          <cell r="G155">
            <v>-8735</v>
          </cell>
          <cell r="H155">
            <v>-3848</v>
          </cell>
          <cell r="I155">
            <v>-1124</v>
          </cell>
        </row>
        <row r="156">
          <cell r="B156" t="str">
            <v>Difference - should be Zero</v>
          </cell>
          <cell r="C156">
            <v>-67</v>
          </cell>
          <cell r="D156" t="str">
            <v>-</v>
          </cell>
          <cell r="E156">
            <v>-3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</row>
        <row r="158">
          <cell r="B158" t="str">
            <v>AASB1049 Comprehensive Result-NW Before transactions with owners as ow</v>
          </cell>
          <cell r="C158">
            <v>473</v>
          </cell>
          <cell r="D158">
            <v>17934</v>
          </cell>
          <cell r="E158">
            <v>43057</v>
          </cell>
          <cell r="F158">
            <v>12892</v>
          </cell>
          <cell r="G158">
            <v>13042</v>
          </cell>
          <cell r="H158">
            <v>11729</v>
          </cell>
          <cell r="I158">
            <v>10408</v>
          </cell>
        </row>
        <row r="159">
          <cell r="B159" t="str">
            <v xml:space="preserve">   2006 C/w Land Devt Road Grant accrued in GFS- cash basis in AASB 10</v>
          </cell>
          <cell r="C159" t="str">
            <v>-</v>
          </cell>
          <cell r="D159" t="str">
            <v>-</v>
          </cell>
          <cell r="E159" t="str">
            <v>-</v>
          </cell>
          <cell r="F159" t="str">
            <v>-</v>
          </cell>
          <cell r="G159" t="str">
            <v>-</v>
          </cell>
          <cell r="H159" t="str">
            <v>-</v>
          </cell>
          <cell r="I159" t="str">
            <v>-</v>
          </cell>
        </row>
        <row r="160">
          <cell r="B160" t="str">
            <v xml:space="preserve">   Low Int (Concession) Loans-grant/int component AASB1049 31(b)(iii)</v>
          </cell>
          <cell r="C160">
            <v>-7</v>
          </cell>
          <cell r="D160">
            <v>7</v>
          </cell>
          <cell r="E160">
            <v>4</v>
          </cell>
          <cell r="F160">
            <v>3</v>
          </cell>
          <cell r="G160">
            <v>4</v>
          </cell>
          <cell r="H160">
            <v>2</v>
          </cell>
          <cell r="I160">
            <v>-4</v>
          </cell>
        </row>
        <row r="161">
          <cell r="B161" t="str">
            <v xml:space="preserve">   PNFC/PFC only - Dividends accrued in GFS result- not in AASB 1049 r</v>
          </cell>
          <cell r="C161" t="str">
            <v>-</v>
          </cell>
          <cell r="D161" t="str">
            <v>-</v>
          </cell>
          <cell r="E161" t="str">
            <v>-</v>
          </cell>
          <cell r="F161" t="str">
            <v>-</v>
          </cell>
          <cell r="G161" t="str">
            <v>-</v>
          </cell>
          <cell r="H161" t="str">
            <v>-</v>
          </cell>
          <cell r="I161">
            <v>-1</v>
          </cell>
        </row>
        <row r="162">
          <cell r="B162" t="str">
            <v>Historical ZADJ backcast a/cs, in GFS-not in AGAAP</v>
          </cell>
          <cell r="C162" t="str">
            <v>-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-</v>
          </cell>
          <cell r="H162" t="str">
            <v>-</v>
          </cell>
          <cell r="I162" t="str">
            <v>-</v>
          </cell>
        </row>
        <row r="163">
          <cell r="B163" t="str">
            <v>Differences in Other Economic Flows</v>
          </cell>
          <cell r="C163" t="str">
            <v>-</v>
          </cell>
          <cell r="D163" t="str">
            <v>-</v>
          </cell>
          <cell r="E163" t="str">
            <v>-</v>
          </cell>
          <cell r="F163" t="str">
            <v>-</v>
          </cell>
          <cell r="G163" t="str">
            <v>-</v>
          </cell>
          <cell r="H163" t="str">
            <v>-</v>
          </cell>
          <cell r="I163" t="str">
            <v>-</v>
          </cell>
        </row>
        <row r="164">
          <cell r="B164" t="str">
            <v xml:space="preserve"> In Accounting but not in GFS</v>
          </cell>
          <cell r="C164" t="str">
            <v>-</v>
          </cell>
          <cell r="D164" t="str">
            <v>-</v>
          </cell>
          <cell r="E164" t="str">
            <v>-</v>
          </cell>
          <cell r="F164" t="str">
            <v>-</v>
          </cell>
          <cell r="G164" t="str">
            <v>-</v>
          </cell>
          <cell r="H164" t="str">
            <v>-</v>
          </cell>
          <cell r="I164" t="str">
            <v>-</v>
          </cell>
        </row>
        <row r="165">
          <cell r="B165" t="str">
            <v xml:space="preserve">   Allowance for Doubtful Debts not recognised in GFS</v>
          </cell>
          <cell r="C165">
            <v>65</v>
          </cell>
          <cell r="D165">
            <v>35</v>
          </cell>
          <cell r="E165">
            <v>46</v>
          </cell>
          <cell r="F165">
            <v>38</v>
          </cell>
          <cell r="G165">
            <v>34</v>
          </cell>
          <cell r="H165">
            <v>34</v>
          </cell>
          <cell r="I165">
            <v>32</v>
          </cell>
        </row>
        <row r="166">
          <cell r="B166" t="str">
            <v xml:space="preserve">   Share of net profit in Associates(exc divs) not in GFS Change in Ne</v>
          </cell>
          <cell r="C166">
            <v>-11</v>
          </cell>
          <cell r="D166">
            <v>-13</v>
          </cell>
          <cell r="E166">
            <v>-50</v>
          </cell>
          <cell r="F166">
            <v>-6</v>
          </cell>
          <cell r="G166">
            <v>-52</v>
          </cell>
          <cell r="H166">
            <v>-46</v>
          </cell>
          <cell r="I166">
            <v>-92</v>
          </cell>
        </row>
        <row r="167">
          <cell r="B167" t="str">
            <v xml:space="preserve">   Other Flows associated with GAAP low interest loans reversed back</v>
          </cell>
          <cell r="C167">
            <v>5</v>
          </cell>
          <cell r="D167">
            <v>-21</v>
          </cell>
          <cell r="E167">
            <v>-22</v>
          </cell>
          <cell r="F167">
            <v>-13</v>
          </cell>
          <cell r="G167">
            <v>-22</v>
          </cell>
          <cell r="H167">
            <v>-10</v>
          </cell>
          <cell r="I167">
            <v>10</v>
          </cell>
        </row>
        <row r="168">
          <cell r="B168" t="str">
            <v xml:space="preserve">   Movements in deferred tax</v>
          </cell>
          <cell r="C168">
            <v>21</v>
          </cell>
          <cell r="D168">
            <v>-3</v>
          </cell>
          <cell r="E168">
            <v>47</v>
          </cell>
          <cell r="F168">
            <v>-8</v>
          </cell>
          <cell r="G168">
            <v>-5</v>
          </cell>
          <cell r="H168">
            <v>-6</v>
          </cell>
          <cell r="I168">
            <v>-7</v>
          </cell>
        </row>
        <row r="169">
          <cell r="B169" t="str">
            <v xml:space="preserve">   Lotteries Licence deferred income - from 2010 for 40yrs</v>
          </cell>
          <cell r="C169">
            <v>-6</v>
          </cell>
          <cell r="D169">
            <v>-6</v>
          </cell>
          <cell r="E169">
            <v>-6</v>
          </cell>
          <cell r="F169">
            <v>-81</v>
          </cell>
          <cell r="G169">
            <v>-81</v>
          </cell>
          <cell r="H169">
            <v>-81</v>
          </cell>
          <cell r="I169">
            <v>-81</v>
          </cell>
        </row>
        <row r="170">
          <cell r="B170" t="str">
            <v xml:space="preserve">   Onerous Contracts</v>
          </cell>
          <cell r="C170" t="str">
            <v>-</v>
          </cell>
          <cell r="D170" t="str">
            <v>-</v>
          </cell>
          <cell r="E170" t="str">
            <v>-</v>
          </cell>
          <cell r="F170" t="str">
            <v>-</v>
          </cell>
          <cell r="G170" t="str">
            <v>-</v>
          </cell>
          <cell r="H170" t="str">
            <v>-</v>
          </cell>
          <cell r="I170" t="str">
            <v>-</v>
          </cell>
        </row>
        <row r="171">
          <cell r="B171" t="str">
            <v>GG only - CDs for changes in equity inv.in net assets of PN</v>
          </cell>
          <cell r="C171">
            <v>-655</v>
          </cell>
          <cell r="D171">
            <v>110</v>
          </cell>
          <cell r="E171">
            <v>-1524</v>
          </cell>
          <cell r="F171">
            <v>79</v>
          </cell>
          <cell r="G171">
            <v>73</v>
          </cell>
          <cell r="H171">
            <v>117</v>
          </cell>
          <cell r="I171">
            <v>141</v>
          </cell>
        </row>
        <row r="181">
          <cell r="B181" t="str">
            <v>OPERATING STATEMENT</v>
          </cell>
          <cell r="C181" t="str">
            <v xml:space="preserve">    Actuals</v>
          </cell>
          <cell r="D181" t="str">
            <v xml:space="preserve">    Budget</v>
          </cell>
          <cell r="E181" t="str">
            <v xml:space="preserve">  Projection</v>
          </cell>
          <cell r="F181" t="str">
            <v xml:space="preserve">    Budget</v>
          </cell>
          <cell r="G181" t="str">
            <v xml:space="preserve">    Budget</v>
          </cell>
          <cell r="H181" t="str">
            <v xml:space="preserve">    Budget</v>
          </cell>
          <cell r="I181" t="str">
            <v xml:space="preserve">    Budget</v>
          </cell>
        </row>
        <row r="182">
          <cell r="C182" t="str">
            <v xml:space="preserve">    2015-16</v>
          </cell>
          <cell r="D182" t="str">
            <v xml:space="preserve">    2016-17</v>
          </cell>
          <cell r="E182" t="str">
            <v xml:space="preserve">    2016-17</v>
          </cell>
          <cell r="F182" t="str">
            <v xml:space="preserve">    2017-18</v>
          </cell>
          <cell r="G182" t="str">
            <v xml:space="preserve">    2018-19</v>
          </cell>
          <cell r="H182" t="str">
            <v xml:space="preserve">    2019-20</v>
          </cell>
          <cell r="I182" t="str">
            <v xml:space="preserve">    2020-21</v>
          </cell>
        </row>
        <row r="183">
          <cell r="B183" t="str">
            <v>OPERATING STATEMENT</v>
          </cell>
          <cell r="C183" t="str">
            <v xml:space="preserve">      $m</v>
          </cell>
          <cell r="D183" t="str">
            <v xml:space="preserve">      $m</v>
          </cell>
          <cell r="E183" t="str">
            <v xml:space="preserve">      $m</v>
          </cell>
          <cell r="F183" t="str">
            <v xml:space="preserve">      $m</v>
          </cell>
          <cell r="G183" t="str">
            <v xml:space="preserve">      $m</v>
          </cell>
          <cell r="H183" t="str">
            <v xml:space="preserve">      $m</v>
          </cell>
          <cell r="I183" t="str">
            <v xml:space="preserve">      $m</v>
          </cell>
        </row>
        <row r="185">
          <cell r="B185" t="str">
            <v>In GFS but not not in Accounting</v>
          </cell>
          <cell r="C185" t="str">
            <v>-</v>
          </cell>
          <cell r="D185" t="str">
            <v>-</v>
          </cell>
          <cell r="E185" t="str">
            <v>-</v>
          </cell>
          <cell r="F185" t="str">
            <v>-</v>
          </cell>
          <cell r="G185" t="str">
            <v>-</v>
          </cell>
          <cell r="H185" t="str">
            <v>-</v>
          </cell>
          <cell r="I185" t="str">
            <v>-</v>
          </cell>
        </row>
        <row r="186">
          <cell r="B186" t="str">
            <v xml:space="preserve">   Other Transns with owners as owners-excluded from AASB 1049-Capital</v>
          </cell>
          <cell r="C186">
            <v>6144</v>
          </cell>
          <cell r="D186" t="str">
            <v>-</v>
          </cell>
          <cell r="E186">
            <v>14012</v>
          </cell>
          <cell r="F186">
            <v>732</v>
          </cell>
          <cell r="G186">
            <v>6</v>
          </cell>
          <cell r="H186" t="str">
            <v>-</v>
          </cell>
          <cell r="I186">
            <v>-1</v>
          </cell>
        </row>
        <row r="187">
          <cell r="B187" t="str">
            <v xml:space="preserve">   PNFC/PFC Sector - MANUAL ADJ.Contributed capital treated as a liab.</v>
          </cell>
          <cell r="C187" t="str">
            <v>-</v>
          </cell>
          <cell r="D187" t="str">
            <v>-</v>
          </cell>
          <cell r="E187" t="str">
            <v>-</v>
          </cell>
          <cell r="F187" t="str">
            <v>-</v>
          </cell>
          <cell r="G187" t="str">
            <v>-</v>
          </cell>
          <cell r="H187" t="str">
            <v>-</v>
          </cell>
          <cell r="I187" t="str">
            <v>-</v>
          </cell>
        </row>
        <row r="188">
          <cell r="B188" t="str">
            <v xml:space="preserve">   Equity Adjs from Changes in Acctg Policy and Correction of Errors</v>
          </cell>
          <cell r="C188">
            <v>-5</v>
          </cell>
          <cell r="D188">
            <v>-403</v>
          </cell>
          <cell r="E188" t="str">
            <v>-</v>
          </cell>
          <cell r="F188" t="str">
            <v>-</v>
          </cell>
          <cell r="G188" t="str">
            <v>-</v>
          </cell>
          <cell r="H188">
            <v>-191</v>
          </cell>
          <cell r="I188">
            <v>-191</v>
          </cell>
        </row>
        <row r="189">
          <cell r="B189" t="str">
            <v>Changes in Net Worth per GFS (calculated)</v>
          </cell>
          <cell r="C189">
            <v>6022</v>
          </cell>
          <cell r="D189">
            <v>17638</v>
          </cell>
          <cell r="E189">
            <v>55564</v>
          </cell>
          <cell r="F189">
            <v>13637</v>
          </cell>
          <cell r="G189">
            <v>12998</v>
          </cell>
          <cell r="H189">
            <v>11549</v>
          </cell>
          <cell r="I189">
            <v>10214</v>
          </cell>
        </row>
        <row r="190">
          <cell r="B190" t="str">
            <v>GFS Changes in Net Worth (using ETF ranges 8100-8299cl.bal. less Op.Ba</v>
          </cell>
          <cell r="C190">
            <v>769</v>
          </cell>
          <cell r="D190">
            <v>17690</v>
          </cell>
          <cell r="E190">
            <v>45926</v>
          </cell>
          <cell r="F190">
            <v>13110</v>
          </cell>
          <cell r="G190">
            <v>13215</v>
          </cell>
          <cell r="H190">
            <v>12962</v>
          </cell>
          <cell r="I190">
            <v>14282</v>
          </cell>
        </row>
        <row r="191">
          <cell r="B191" t="str">
            <v>Difference - should be Zero</v>
          </cell>
          <cell r="C191">
            <v>5253</v>
          </cell>
          <cell r="D191">
            <v>-52</v>
          </cell>
          <cell r="E191">
            <v>9638</v>
          </cell>
          <cell r="F191">
            <v>527</v>
          </cell>
          <cell r="G191">
            <v>-217</v>
          </cell>
          <cell r="H191">
            <v>-1412</v>
          </cell>
          <cell r="I191">
            <v>-4068</v>
          </cell>
        </row>
        <row r="193">
          <cell r="B193" t="str">
            <v>RECLASSIFICATION DIFFERENCES - OPERATING STATEMENT Dr=+&amp;CR=(-)</v>
          </cell>
          <cell r="C193" t="str">
            <v>-</v>
          </cell>
          <cell r="D193" t="str">
            <v>-</v>
          </cell>
          <cell r="E193" t="str">
            <v>-</v>
          </cell>
          <cell r="F193" t="str">
            <v>-</v>
          </cell>
          <cell r="G193" t="str">
            <v>-</v>
          </cell>
          <cell r="H193" t="str">
            <v>-</v>
          </cell>
          <cell r="I193" t="str">
            <v>-</v>
          </cell>
        </row>
        <row r="194">
          <cell r="B194" t="str">
            <v>C/w PostBox Grant Revenue and Expenses in GFS,but excluded from AASB 1</v>
          </cell>
          <cell r="C194">
            <v>-4085</v>
          </cell>
          <cell r="D194">
            <v>-4156</v>
          </cell>
          <cell r="E194">
            <v>-4655</v>
          </cell>
          <cell r="F194">
            <v>-4018</v>
          </cell>
          <cell r="G194">
            <v>-4459</v>
          </cell>
          <cell r="H194">
            <v>-4583</v>
          </cell>
          <cell r="I194">
            <v>-4755</v>
          </cell>
        </row>
        <row r="195">
          <cell r="B195" t="str">
            <v>GG &amp; NFPS only - Gross up of HWC Rev/Exp Levies in GFS, not in AASB 10</v>
          </cell>
          <cell r="C195">
            <v>-444</v>
          </cell>
          <cell r="D195">
            <v>-7</v>
          </cell>
          <cell r="E195">
            <v>-7</v>
          </cell>
          <cell r="F195">
            <v>-7</v>
          </cell>
          <cell r="G195">
            <v>-7</v>
          </cell>
          <cell r="H195">
            <v>-8</v>
          </cell>
          <cell r="I195">
            <v>-8</v>
          </cell>
        </row>
        <row r="196">
          <cell r="B196" t="str">
            <v>TSS only-GFS Gross up Student/Pensioner Rev/Exp routed thru HouseHold</v>
          </cell>
          <cell r="C196">
            <v>1705</v>
          </cell>
          <cell r="D196">
            <v>1852</v>
          </cell>
          <cell r="E196">
            <v>1750</v>
          </cell>
          <cell r="F196">
            <v>1981</v>
          </cell>
          <cell r="G196">
            <v>2116</v>
          </cell>
          <cell r="H196">
            <v>2293</v>
          </cell>
          <cell r="I196">
            <v>2385</v>
          </cell>
        </row>
        <row r="197">
          <cell r="B197" t="str">
            <v>GG only - Dividends from Asset sales-in Acctg thru OS OEF-in GFS direc</v>
          </cell>
          <cell r="C197" t="str">
            <v>-</v>
          </cell>
          <cell r="D197">
            <v>-272</v>
          </cell>
          <cell r="E197">
            <v>-115</v>
          </cell>
          <cell r="F197">
            <v>-193</v>
          </cell>
          <cell r="G197" t="str">
            <v>-</v>
          </cell>
          <cell r="H197" t="str">
            <v>-</v>
          </cell>
          <cell r="I197" t="str">
            <v>-</v>
          </cell>
        </row>
        <row r="198">
          <cell r="B198" t="str">
            <v>FBT expense - emp related in accg, other grants &amp; tfr exp in GFS</v>
          </cell>
          <cell r="C198">
            <v>26</v>
          </cell>
          <cell r="D198">
            <v>31</v>
          </cell>
          <cell r="E198">
            <v>32</v>
          </cell>
          <cell r="F198">
            <v>35</v>
          </cell>
          <cell r="G198">
            <v>36</v>
          </cell>
          <cell r="H198">
            <v>38</v>
          </cell>
          <cell r="I198">
            <v>37</v>
          </cell>
        </row>
        <row r="199">
          <cell r="B199" t="str">
            <v>Personnel Serv - EmpExp &amp; PSRev in GGS-Service &amp; PSexp  in PNFC sector</v>
          </cell>
          <cell r="C199">
            <v>-744</v>
          </cell>
          <cell r="D199">
            <v>-739</v>
          </cell>
          <cell r="E199">
            <v>-715</v>
          </cell>
          <cell r="F199">
            <v>-717</v>
          </cell>
          <cell r="G199">
            <v>-712</v>
          </cell>
          <cell r="H199">
            <v>-715</v>
          </cell>
          <cell r="I199">
            <v>-733</v>
          </cell>
        </row>
        <row r="202">
          <cell r="B202" t="str">
            <v>FISCAL AGGREGATES FOR DRILL DOWN ANALYSIS eg BY AGENCY</v>
          </cell>
          <cell r="C202" t="str">
            <v>-</v>
          </cell>
          <cell r="D202" t="str">
            <v>-</v>
          </cell>
          <cell r="E202" t="str">
            <v>-</v>
          </cell>
          <cell r="F202" t="str">
            <v>-</v>
          </cell>
          <cell r="G202" t="str">
            <v>-</v>
          </cell>
          <cell r="H202" t="str">
            <v>-</v>
          </cell>
          <cell r="I202" t="str">
            <v>-</v>
          </cell>
        </row>
        <row r="203">
          <cell r="B203" t="str">
            <v>Net Result from Transn (For analysis by agency - row 956)</v>
          </cell>
          <cell r="C203">
            <v>4663</v>
          </cell>
          <cell r="D203">
            <v>3713</v>
          </cell>
          <cell r="E203">
            <v>4410</v>
          </cell>
          <cell r="F203">
            <v>2661</v>
          </cell>
          <cell r="G203">
            <v>2062</v>
          </cell>
          <cell r="H203">
            <v>1397</v>
          </cell>
          <cell r="I203">
            <v>1303</v>
          </cell>
        </row>
        <row r="204">
          <cell r="B204" t="str">
            <v>Accounting Operating Result (For analysis by agency - row 958)</v>
          </cell>
          <cell r="C204">
            <v>2758</v>
          </cell>
          <cell r="D204">
            <v>4156</v>
          </cell>
          <cell r="E204">
            <v>4005</v>
          </cell>
          <cell r="F204">
            <v>3379</v>
          </cell>
          <cell r="G204">
            <v>2806</v>
          </cell>
          <cell r="H204">
            <v>2256</v>
          </cell>
          <cell r="I204">
            <v>2099</v>
          </cell>
        </row>
        <row r="205">
          <cell r="B205" t="str">
            <v>Accounting Comprehensive Result (For analysis by agency - row 959)</v>
          </cell>
          <cell r="C205">
            <v>8651</v>
          </cell>
          <cell r="D205">
            <v>9278</v>
          </cell>
          <cell r="E205">
            <v>14461</v>
          </cell>
          <cell r="F205">
            <v>7845</v>
          </cell>
          <cell r="G205">
            <v>8743</v>
          </cell>
          <cell r="H205">
            <v>7752</v>
          </cell>
          <cell r="I205">
            <v>8817</v>
          </cell>
        </row>
        <row r="206">
          <cell r="B206" t="str">
            <v>Net Lending Result (For analysis by agency - row 960)</v>
          </cell>
          <cell r="C206">
            <v>404</v>
          </cell>
          <cell r="D206">
            <v>-3628</v>
          </cell>
          <cell r="E206">
            <v>1598</v>
          </cell>
          <cell r="F206">
            <v>-6482</v>
          </cell>
          <cell r="G206">
            <v>-8738</v>
          </cell>
          <cell r="H206">
            <v>-3850</v>
          </cell>
          <cell r="I206">
            <v>-1119</v>
          </cell>
        </row>
        <row r="207">
          <cell r="B207" t="str">
            <v>Total Revenues from Continuing Ops (For analysis by agency - row 961)</v>
          </cell>
          <cell r="C207">
            <v>74334</v>
          </cell>
          <cell r="D207">
            <v>77005</v>
          </cell>
          <cell r="E207">
            <v>77817</v>
          </cell>
          <cell r="F207">
            <v>79581</v>
          </cell>
          <cell r="G207">
            <v>80111</v>
          </cell>
          <cell r="H207">
            <v>82316</v>
          </cell>
          <cell r="I207">
            <v>83655</v>
          </cell>
        </row>
        <row r="208">
          <cell r="B208" t="str">
            <v>Total Expenses from Continuing Ops (For analysis by agency - row 962)</v>
          </cell>
          <cell r="C208">
            <v>-69671</v>
          </cell>
          <cell r="D208">
            <v>-73292</v>
          </cell>
          <cell r="E208">
            <v>-73407</v>
          </cell>
          <cell r="F208">
            <v>-76920</v>
          </cell>
          <cell r="G208">
            <v>-78049</v>
          </cell>
          <cell r="H208">
            <v>-80919</v>
          </cell>
          <cell r="I208">
            <v>-82352</v>
          </cell>
        </row>
        <row r="209">
          <cell r="B209" t="str">
            <v>Capital Expenditure (For analysis by agency - row 963)</v>
          </cell>
          <cell r="C209">
            <v>9336</v>
          </cell>
          <cell r="D209">
            <v>12514</v>
          </cell>
          <cell r="E209">
            <v>10963</v>
          </cell>
          <cell r="F209">
            <v>14517</v>
          </cell>
          <cell r="G209">
            <v>16495</v>
          </cell>
          <cell r="H209">
            <v>10707</v>
          </cell>
          <cell r="I209">
            <v>7936</v>
          </cell>
        </row>
        <row r="210">
          <cell r="B210" t="str">
            <v xml:space="preserve"> Capital Grants Revenue (row 964)</v>
          </cell>
          <cell r="C210">
            <v>-1631</v>
          </cell>
          <cell r="D210">
            <v>-3831</v>
          </cell>
          <cell r="E210">
            <v>-3189</v>
          </cell>
          <cell r="F210">
            <v>-2759</v>
          </cell>
          <cell r="G210">
            <v>-2200</v>
          </cell>
          <cell r="H210">
            <v>-1660</v>
          </cell>
          <cell r="I210">
            <v>-1017</v>
          </cell>
        </row>
        <row r="211">
          <cell r="B211" t="str">
            <v>Recurrent Grants Revenue (row 965)</v>
          </cell>
          <cell r="C211">
            <v>-28466</v>
          </cell>
          <cell r="D211">
            <v>-28514</v>
          </cell>
          <cell r="E211">
            <v>-28537</v>
          </cell>
          <cell r="F211">
            <v>-28966</v>
          </cell>
          <cell r="G211">
            <v>-28770</v>
          </cell>
          <cell r="H211">
            <v>-29317</v>
          </cell>
          <cell r="I211">
            <v>-30553</v>
          </cell>
        </row>
        <row r="212">
          <cell r="B212" t="str">
            <v>Total Grants Revenue</v>
          </cell>
          <cell r="C212">
            <v>-30096</v>
          </cell>
          <cell r="D212">
            <v>-32344</v>
          </cell>
          <cell r="E212">
            <v>-31726</v>
          </cell>
          <cell r="F212">
            <v>-31725</v>
          </cell>
          <cell r="G212">
            <v>-30970</v>
          </cell>
          <cell r="H212">
            <v>-30976</v>
          </cell>
          <cell r="I212">
            <v>-31570</v>
          </cell>
        </row>
        <row r="213">
          <cell r="B213" t="str">
            <v xml:space="preserve"> Capital Grants Expense - Cash only</v>
          </cell>
          <cell r="C213">
            <v>601</v>
          </cell>
          <cell r="D213">
            <v>785</v>
          </cell>
          <cell r="E213">
            <v>693</v>
          </cell>
          <cell r="F213">
            <v>1002</v>
          </cell>
          <cell r="G213">
            <v>613</v>
          </cell>
          <cell r="H213">
            <v>651</v>
          </cell>
          <cell r="I213">
            <v>513</v>
          </cell>
        </row>
        <row r="215">
          <cell r="B215" t="str">
            <v>Net Cost of Services (row 970)</v>
          </cell>
          <cell r="C215">
            <v>-2768</v>
          </cell>
          <cell r="D215">
            <v>-4253</v>
          </cell>
          <cell r="E215">
            <v>-3979</v>
          </cell>
          <cell r="F215">
            <v>-3379</v>
          </cell>
          <cell r="G215">
            <v>-2806</v>
          </cell>
          <cell r="H215">
            <v>-2256</v>
          </cell>
          <cell r="I215">
            <v>-2099</v>
          </cell>
        </row>
        <row r="216">
          <cell r="B216" t="str">
            <v>GG Budget Result LESS Depreciation</v>
          </cell>
          <cell r="C216">
            <v>9056</v>
          </cell>
          <cell r="D216">
            <v>8322</v>
          </cell>
          <cell r="E216">
            <v>9043</v>
          </cell>
          <cell r="F216">
            <v>7599</v>
          </cell>
          <cell r="G216">
            <v>7244</v>
          </cell>
          <cell r="H216">
            <v>6963</v>
          </cell>
          <cell r="I216">
            <v>7085</v>
          </cell>
        </row>
        <row r="218">
          <cell r="B218" t="str">
            <v>Total Agency Expenses for BP3 run uneliminated (Exxx, exc E1000280)</v>
          </cell>
          <cell r="C218">
            <v>74860</v>
          </cell>
          <cell r="D218">
            <v>77889</v>
          </cell>
          <cell r="E218">
            <v>78099</v>
          </cell>
          <cell r="F218">
            <v>81072</v>
          </cell>
          <cell r="G218">
            <v>82645</v>
          </cell>
          <cell r="H218">
            <v>85630</v>
          </cell>
          <cell r="I218">
            <v>87406</v>
          </cell>
        </row>
        <row r="220">
          <cell r="B220" t="str">
            <v>For CALM Branch - Unwinding of discounts within Total Interest exp</v>
          </cell>
          <cell r="C220">
            <v>447</v>
          </cell>
          <cell r="D220">
            <v>462</v>
          </cell>
          <cell r="E220">
            <v>454</v>
          </cell>
          <cell r="F220">
            <v>460</v>
          </cell>
          <cell r="G220">
            <v>470</v>
          </cell>
          <cell r="H220">
            <v>491</v>
          </cell>
          <cell r="I220">
            <v>510</v>
          </cell>
        </row>
      </sheetData>
      <sheetData sheetId="5"/>
      <sheetData sheetId="6">
        <row r="7">
          <cell r="C7" t="str">
            <v xml:space="preserve">    2016-17</v>
          </cell>
          <cell r="D7" t="str">
            <v xml:space="preserve">    2017-18</v>
          </cell>
          <cell r="E7" t="str">
            <v xml:space="preserve">    2018-19</v>
          </cell>
          <cell r="F7" t="str">
            <v xml:space="preserve">    2019-20</v>
          </cell>
          <cell r="G7" t="str">
            <v xml:space="preserve">    2020-21</v>
          </cell>
          <cell r="H7" t="str">
            <v xml:space="preserve">    2021-22</v>
          </cell>
        </row>
        <row r="8">
          <cell r="C8" t="str">
            <v xml:space="preserve">      $m</v>
          </cell>
          <cell r="D8" t="str">
            <v xml:space="preserve">      $m</v>
          </cell>
          <cell r="E8" t="str">
            <v xml:space="preserve">      $m</v>
          </cell>
          <cell r="F8" t="str">
            <v xml:space="preserve">      $m</v>
          </cell>
          <cell r="G8" t="str">
            <v xml:space="preserve">      $m</v>
          </cell>
          <cell r="H8" t="str">
            <v xml:space="preserve">      $m</v>
          </cell>
        </row>
        <row r="9">
          <cell r="C9" t="str">
            <v xml:space="preserve">  Projection</v>
          </cell>
          <cell r="D9" t="str">
            <v xml:space="preserve">   Estimate</v>
          </cell>
          <cell r="E9" t="str">
            <v xml:space="preserve">   Estimate</v>
          </cell>
          <cell r="F9" t="str">
            <v xml:space="preserve">   Estimate</v>
          </cell>
          <cell r="G9" t="str">
            <v xml:space="preserve">   Estimate</v>
          </cell>
          <cell r="H9" t="str">
            <v xml:space="preserve">   Estimate</v>
          </cell>
        </row>
        <row r="11">
          <cell r="B11" t="str">
            <v>Report on TSS Debt at amortised cost for Moodies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</row>
        <row r="13">
          <cell r="B13" t="str">
            <v>Run eliminated for TSS Total, then run 'uneliminated' 'agency summary'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</row>
        <row r="14">
          <cell r="B14" t="str">
            <v xml:space="preserve">  to remove the commercial PTES (elect/water/ports) debt.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</row>
        <row r="15">
          <cell r="B15" t="str">
            <v xml:space="preserve">  This report excludes derivatives and deposits, which are not 'debt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</row>
        <row r="16">
          <cell r="B16" t="str">
            <v xml:space="preserve">  instruments for the purpose of Moodies.</v>
          </cell>
          <cell r="C16" t="str">
            <v>-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</row>
        <row r="17">
          <cell r="B17" t="str">
            <v xml:space="preserve">  (Also, GG Total Revenues is found in separate Budget Op.Stmt)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</row>
        <row r="19">
          <cell r="B19" t="str">
            <v>ZFINS NAME: MOODIES   Type 40 for TSS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</row>
        <row r="21">
          <cell r="B21" t="str">
            <v>Total Debt (per Moodies defn but includes MV adj, and derivs/deposits)</v>
          </cell>
          <cell r="C21">
            <v>-72190</v>
          </cell>
          <cell r="D21">
            <v>-74294</v>
          </cell>
          <cell r="E21">
            <v>-81852</v>
          </cell>
          <cell r="F21">
            <v>-87397</v>
          </cell>
          <cell r="G21">
            <v>-90271</v>
          </cell>
          <cell r="H21" t="str">
            <v>-</v>
          </cell>
        </row>
        <row r="22">
          <cell r="B22" t="str">
            <v>Total Debt (adj to remove TC interest payable)</v>
          </cell>
          <cell r="C22">
            <v>458</v>
          </cell>
          <cell r="D22">
            <v>477</v>
          </cell>
          <cell r="E22">
            <v>533</v>
          </cell>
          <cell r="F22">
            <v>630</v>
          </cell>
          <cell r="G22">
            <v>690</v>
          </cell>
          <cell r="H22" t="str">
            <v>-</v>
          </cell>
        </row>
        <row r="23">
          <cell r="B23" t="str">
            <v>Total Debt (adj to remove TC Mkt value increments)</v>
          </cell>
          <cell r="C23">
            <v>3614</v>
          </cell>
          <cell r="D23">
            <v>2535</v>
          </cell>
          <cell r="E23">
            <v>1387</v>
          </cell>
          <cell r="F23">
            <v>104</v>
          </cell>
          <cell r="G23">
            <v>-381</v>
          </cell>
          <cell r="H23" t="str">
            <v>-</v>
          </cell>
        </row>
        <row r="25">
          <cell r="B25" t="str">
            <v>Total Debt (per Moodies defn.excludes MV adj, int.ac.&amp;derivs/deposits)</v>
          </cell>
          <cell r="C25">
            <v>-68118</v>
          </cell>
          <cell r="D25">
            <v>-71282</v>
          </cell>
          <cell r="E25">
            <v>-79932</v>
          </cell>
          <cell r="F25">
            <v>-86663</v>
          </cell>
          <cell r="G25">
            <v>-89961</v>
          </cell>
          <cell r="H25" t="str">
            <v>-</v>
          </cell>
        </row>
        <row r="27">
          <cell r="B27" t="str">
            <v>Need to deduct Ports/Electricity/Water (unelimnated) from above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</row>
        <row r="29">
          <cell r="B29" t="str">
            <v>eliminated Total.</v>
          </cell>
          <cell r="C29" t="str">
            <v>-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</row>
      </sheetData>
      <sheetData sheetId="7"/>
      <sheetData sheetId="8"/>
      <sheetData sheetId="9"/>
      <sheetData sheetId="10"/>
      <sheetData sheetId="11"/>
      <sheetData sheetId="12">
        <row r="7">
          <cell r="C7" t="str">
            <v xml:space="preserve">    2016-17</v>
          </cell>
          <cell r="D7" t="str">
            <v xml:space="preserve">    2017-18</v>
          </cell>
          <cell r="E7" t="str">
            <v xml:space="preserve">    2018-19</v>
          </cell>
          <cell r="F7" t="str">
            <v xml:space="preserve">    2019-20</v>
          </cell>
          <cell r="G7" t="str">
            <v xml:space="preserve">    2020-21</v>
          </cell>
          <cell r="H7" t="str">
            <v xml:space="preserve">    2021-22</v>
          </cell>
        </row>
        <row r="8">
          <cell r="B8" t="str">
            <v>Agency</v>
          </cell>
          <cell r="C8" t="str">
            <v xml:space="preserve">      $m</v>
          </cell>
          <cell r="D8" t="str">
            <v xml:space="preserve">      $m</v>
          </cell>
          <cell r="E8" t="str">
            <v xml:space="preserve">      $m</v>
          </cell>
          <cell r="F8" t="str">
            <v xml:space="preserve">      $m</v>
          </cell>
          <cell r="G8" t="str">
            <v xml:space="preserve">      $m</v>
          </cell>
          <cell r="H8" t="str">
            <v xml:space="preserve">      $m</v>
          </cell>
        </row>
        <row r="9">
          <cell r="C9" t="str">
            <v xml:space="preserve">  Projection</v>
          </cell>
          <cell r="D9" t="str">
            <v xml:space="preserve">   Estimate</v>
          </cell>
          <cell r="E9" t="str">
            <v xml:space="preserve">   Estimate</v>
          </cell>
          <cell r="F9" t="str">
            <v xml:space="preserve">   Estimate</v>
          </cell>
          <cell r="G9" t="str">
            <v xml:space="preserve">   Estimate</v>
          </cell>
          <cell r="H9" t="str">
            <v xml:space="preserve">   Estimate</v>
          </cell>
        </row>
        <row r="11">
          <cell r="B11" t="str">
            <v>Report on TSS Debt at amortised cost for Moodies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</row>
        <row r="13">
          <cell r="B13" t="str">
            <v>Run eliminated for TSS Total, then run 'uneliminated' 'agency summary'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</row>
        <row r="14">
          <cell r="B14" t="str">
            <v xml:space="preserve">  to remove the commercial PTES (elect/water/ports) debt.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</row>
        <row r="15">
          <cell r="B15" t="str">
            <v xml:space="preserve">  This report excludes derivatives and deposits, which are not 'debt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</row>
        <row r="16">
          <cell r="B16" t="str">
            <v xml:space="preserve">  instruments for the purpose of Moodies.</v>
          </cell>
          <cell r="C16" t="str">
            <v>-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</row>
        <row r="17">
          <cell r="B17" t="str">
            <v xml:space="preserve">  (Also, GG Total Revenues is found in separate Budget Op.Stmt)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</row>
        <row r="19">
          <cell r="B19" t="str">
            <v>ZFINS NAME: MOODIES   Type 40 for TSS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</row>
        <row r="21">
          <cell r="B21" t="str">
            <v>Total Debt (per Moodies defn but includes MV adj, and derivs/deposits)</v>
          </cell>
          <cell r="C21">
            <v>-120614</v>
          </cell>
          <cell r="D21">
            <v>-124253</v>
          </cell>
          <cell r="E21">
            <v>-136794</v>
          </cell>
          <cell r="F21">
            <v>-148783</v>
          </cell>
          <cell r="G21">
            <v>-155022</v>
          </cell>
          <cell r="H21" t="str">
            <v>-</v>
          </cell>
        </row>
        <row r="22">
          <cell r="B22" t="str">
            <v xml:space="preserve">         00068 Transport for NSW</v>
          </cell>
          <cell r="C22">
            <v>-1632</v>
          </cell>
          <cell r="D22">
            <v>-1730</v>
          </cell>
          <cell r="E22">
            <v>-5123</v>
          </cell>
          <cell r="F22">
            <v>-5184</v>
          </cell>
          <cell r="G22">
            <v>-5179</v>
          </cell>
          <cell r="H22" t="str">
            <v>-</v>
          </cell>
        </row>
        <row r="23">
          <cell r="B23" t="str">
            <v xml:space="preserve">         00090 Ministry of Health</v>
          </cell>
          <cell r="C23">
            <v>-1097</v>
          </cell>
          <cell r="D23">
            <v>-1077</v>
          </cell>
          <cell r="E23">
            <v>-1063</v>
          </cell>
          <cell r="F23">
            <v>-1049</v>
          </cell>
          <cell r="G23">
            <v>-1034</v>
          </cell>
          <cell r="H23" t="str">
            <v>-</v>
          </cell>
        </row>
        <row r="24">
          <cell r="B24" t="str">
            <v xml:space="preserve">         00100 The Treasury</v>
          </cell>
          <cell r="C24" t="str">
            <v>-</v>
          </cell>
          <cell r="D24" t="str">
            <v>-</v>
          </cell>
          <cell r="E24" t="str">
            <v>-</v>
          </cell>
          <cell r="F24">
            <v>-4</v>
          </cell>
          <cell r="G24">
            <v>-8</v>
          </cell>
          <cell r="H24" t="str">
            <v>-</v>
          </cell>
        </row>
        <row r="25">
          <cell r="B25" t="str">
            <v xml:space="preserve">         00105 Crown Finance Entity</v>
          </cell>
          <cell r="C25">
            <v>-29021</v>
          </cell>
          <cell r="D25">
            <v>-28850</v>
          </cell>
          <cell r="E25">
            <v>-30917</v>
          </cell>
          <cell r="F25">
            <v>-36047</v>
          </cell>
          <cell r="G25">
            <v>-38392</v>
          </cell>
          <cell r="H25" t="str">
            <v>-</v>
          </cell>
        </row>
        <row r="26">
          <cell r="B26" t="str">
            <v xml:space="preserve">         00115 New South Wales Rural Assistance Authority</v>
          </cell>
          <cell r="C26">
            <v>-348</v>
          </cell>
          <cell r="D26">
            <v>-309</v>
          </cell>
          <cell r="E26">
            <v>-382</v>
          </cell>
          <cell r="F26">
            <v>-527</v>
          </cell>
          <cell r="G26">
            <v>-672</v>
          </cell>
          <cell r="H26" t="str">
            <v>-</v>
          </cell>
        </row>
        <row r="27">
          <cell r="B27" t="str">
            <v xml:space="preserve">         00186 Department of Justice</v>
          </cell>
          <cell r="C27">
            <v>-75</v>
          </cell>
          <cell r="D27">
            <v>-71</v>
          </cell>
          <cell r="E27">
            <v>-66</v>
          </cell>
          <cell r="F27">
            <v>-61</v>
          </cell>
          <cell r="G27">
            <v>-55</v>
          </cell>
          <cell r="H27" t="str">
            <v>-</v>
          </cell>
        </row>
        <row r="28">
          <cell r="B28" t="str">
            <v xml:space="preserve">         00235 Department of Finance, Services and Innovation</v>
          </cell>
          <cell r="C28">
            <v>-355</v>
          </cell>
          <cell r="D28">
            <v>-186</v>
          </cell>
          <cell r="E28">
            <v>-71</v>
          </cell>
          <cell r="F28">
            <v>-22</v>
          </cell>
          <cell r="G28">
            <v>-5</v>
          </cell>
          <cell r="H28" t="str">
            <v>-</v>
          </cell>
        </row>
        <row r="29">
          <cell r="B29" t="str">
            <v xml:space="preserve">         00250 NSW Police Force</v>
          </cell>
          <cell r="C29">
            <v>-124</v>
          </cell>
          <cell r="D29">
            <v>-109</v>
          </cell>
          <cell r="E29">
            <v>-95</v>
          </cell>
          <cell r="F29">
            <v>-78</v>
          </cell>
          <cell r="G29">
            <v>-59</v>
          </cell>
          <cell r="H29" t="str">
            <v>-</v>
          </cell>
        </row>
        <row r="30">
          <cell r="B30" t="str">
            <v xml:space="preserve">         00360 Department of Education</v>
          </cell>
          <cell r="C30">
            <v>-170</v>
          </cell>
          <cell r="D30">
            <v>-163</v>
          </cell>
          <cell r="E30">
            <v>-156</v>
          </cell>
          <cell r="F30">
            <v>-149</v>
          </cell>
          <cell r="G30">
            <v>-141</v>
          </cell>
          <cell r="H30" t="str">
            <v>-</v>
          </cell>
        </row>
        <row r="31">
          <cell r="B31" t="str">
            <v xml:space="preserve">         00445 Roads and Maritime Services</v>
          </cell>
          <cell r="C31">
            <v>-381</v>
          </cell>
          <cell r="D31">
            <v>-325</v>
          </cell>
          <cell r="E31">
            <v>-258</v>
          </cell>
          <cell r="F31">
            <v>-189</v>
          </cell>
          <cell r="G31">
            <v>-108</v>
          </cell>
          <cell r="H31" t="str">
            <v>-</v>
          </cell>
        </row>
        <row r="32">
          <cell r="B32" t="str">
            <v xml:space="preserve">         00489 Office of Environment and Heritage</v>
          </cell>
          <cell r="C32">
            <v>-42</v>
          </cell>
          <cell r="D32">
            <v>-42</v>
          </cell>
          <cell r="E32">
            <v>-42</v>
          </cell>
          <cell r="F32">
            <v>-42</v>
          </cell>
          <cell r="G32">
            <v>-42</v>
          </cell>
          <cell r="H32" t="str">
            <v>-</v>
          </cell>
        </row>
        <row r="33">
          <cell r="B33" t="str">
            <v xml:space="preserve">         00497 Department of Planning and Environment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</row>
        <row r="34">
          <cell r="B34" t="str">
            <v xml:space="preserve">         00513 Minister Administering the Environmental Planning and</v>
          </cell>
          <cell r="C34">
            <v>-221</v>
          </cell>
          <cell r="D34">
            <v>-221</v>
          </cell>
          <cell r="E34">
            <v>-221</v>
          </cell>
          <cell r="F34">
            <v>-221</v>
          </cell>
          <cell r="G34">
            <v>-221</v>
          </cell>
          <cell r="H34" t="str">
            <v>-</v>
          </cell>
        </row>
        <row r="35">
          <cell r="B35" t="str">
            <v xml:space="preserve">         00520 Home Purchase Assistance Fund</v>
          </cell>
          <cell r="C35">
            <v>-114</v>
          </cell>
          <cell r="D35">
            <v>-107</v>
          </cell>
          <cell r="E35">
            <v>-99</v>
          </cell>
          <cell r="F35">
            <v>-92</v>
          </cell>
          <cell r="G35">
            <v>-85</v>
          </cell>
          <cell r="H35" t="str">
            <v>-</v>
          </cell>
        </row>
        <row r="36">
          <cell r="B36" t="str">
            <v xml:space="preserve">         00538 New South Wales Treasury Corporation</v>
          </cell>
          <cell r="C36">
            <v>-63724</v>
          </cell>
          <cell r="D36">
            <v>-63584</v>
          </cell>
          <cell r="E36">
            <v>-67434</v>
          </cell>
          <cell r="F36">
            <v>-72655</v>
          </cell>
          <cell r="G36">
            <v>-75561</v>
          </cell>
          <cell r="H36" t="str">
            <v>-</v>
          </cell>
        </row>
        <row r="37">
          <cell r="B37" t="str">
            <v xml:space="preserve">         00542 Forestry Corporation of New South Wales</v>
          </cell>
          <cell r="C37">
            <v>-108</v>
          </cell>
          <cell r="D37">
            <v>-108</v>
          </cell>
          <cell r="E37">
            <v>-108</v>
          </cell>
          <cell r="F37">
            <v>-108</v>
          </cell>
          <cell r="G37">
            <v>-108</v>
          </cell>
          <cell r="H37" t="str">
            <v>-</v>
          </cell>
        </row>
        <row r="38">
          <cell r="B38" t="str">
            <v xml:space="preserve">         00554 FANMAC Trusts</v>
          </cell>
          <cell r="C38">
            <v>-9</v>
          </cell>
          <cell r="D38">
            <v>-7</v>
          </cell>
          <cell r="E38">
            <v>-6</v>
          </cell>
          <cell r="F38">
            <v>-5</v>
          </cell>
          <cell r="G38">
            <v>-3</v>
          </cell>
          <cell r="H38" t="str">
            <v>-</v>
          </cell>
        </row>
        <row r="39">
          <cell r="B39" t="str">
            <v xml:space="preserve">         00595 Property NSW</v>
          </cell>
          <cell r="C39">
            <v>-34</v>
          </cell>
          <cell r="D39">
            <v>-34</v>
          </cell>
          <cell r="E39">
            <v>-34</v>
          </cell>
          <cell r="F39">
            <v>-34</v>
          </cell>
          <cell r="G39">
            <v>-34</v>
          </cell>
          <cell r="H39" t="str">
            <v>-</v>
          </cell>
        </row>
        <row r="40">
          <cell r="B40" t="str">
            <v xml:space="preserve">         00596 Barangaroo Delivery Authority</v>
          </cell>
          <cell r="C40">
            <v>-584</v>
          </cell>
          <cell r="D40">
            <v>-457</v>
          </cell>
          <cell r="E40">
            <v>-677</v>
          </cell>
          <cell r="F40">
            <v>-828</v>
          </cell>
          <cell r="G40">
            <v>-614</v>
          </cell>
          <cell r="H40" t="str">
            <v>-</v>
          </cell>
        </row>
        <row r="41">
          <cell r="B41" t="str">
            <v xml:space="preserve">         00611 New South Wales Land and Housing Corporation</v>
          </cell>
          <cell r="C41">
            <v>-553</v>
          </cell>
          <cell r="D41">
            <v>-535</v>
          </cell>
          <cell r="E41">
            <v>-518</v>
          </cell>
          <cell r="F41">
            <v>-501</v>
          </cell>
          <cell r="G41">
            <v>-484</v>
          </cell>
          <cell r="H41" t="str">
            <v>-</v>
          </cell>
        </row>
        <row r="42">
          <cell r="B42" t="str">
            <v xml:space="preserve">         00618 Hunter Water Corporation</v>
          </cell>
          <cell r="C42">
            <v>-1057</v>
          </cell>
          <cell r="D42">
            <v>-1124</v>
          </cell>
          <cell r="E42">
            <v>-1259</v>
          </cell>
          <cell r="F42">
            <v>-1329</v>
          </cell>
          <cell r="G42">
            <v>-1406</v>
          </cell>
          <cell r="H42" t="str">
            <v>-</v>
          </cell>
        </row>
        <row r="43">
          <cell r="B43" t="str">
            <v xml:space="preserve">         00625 Newcastle Port Corporation</v>
          </cell>
          <cell r="C43" t="str">
            <v>-</v>
          </cell>
          <cell r="D43" t="str">
            <v>-</v>
          </cell>
          <cell r="E43">
            <v>-160</v>
          </cell>
          <cell r="F43">
            <v>-160</v>
          </cell>
          <cell r="G43">
            <v>-160</v>
          </cell>
          <cell r="H43" t="str">
            <v>-</v>
          </cell>
        </row>
        <row r="44">
          <cell r="B44" t="str">
            <v xml:space="preserve">         00627 Essential Energy</v>
          </cell>
          <cell r="C44">
            <v>-5275</v>
          </cell>
          <cell r="D44">
            <v>-5514</v>
          </cell>
          <cell r="E44">
            <v>-5726</v>
          </cell>
          <cell r="F44">
            <v>-5942</v>
          </cell>
          <cell r="G44">
            <v>-6076</v>
          </cell>
          <cell r="H44" t="str">
            <v>-</v>
          </cell>
        </row>
        <row r="45">
          <cell r="B45" t="str">
            <v xml:space="preserve">         00636 State Transit Authority of New South Wales</v>
          </cell>
          <cell r="C45">
            <v>-168</v>
          </cell>
          <cell r="D45">
            <v>-139</v>
          </cell>
          <cell r="E45">
            <v>-126</v>
          </cell>
          <cell r="F45">
            <v>-112</v>
          </cell>
          <cell r="G45">
            <v>-106</v>
          </cell>
          <cell r="H45" t="str">
            <v>-</v>
          </cell>
        </row>
        <row r="46">
          <cell r="B46" t="str">
            <v xml:space="preserve">         00637 Sydney Cricket and Sports Ground Trust</v>
          </cell>
          <cell r="C46">
            <v>-84</v>
          </cell>
          <cell r="D46">
            <v>-83</v>
          </cell>
          <cell r="E46">
            <v>-79</v>
          </cell>
          <cell r="F46">
            <v>-74</v>
          </cell>
          <cell r="G46">
            <v>-69</v>
          </cell>
          <cell r="H46" t="str">
            <v>-</v>
          </cell>
        </row>
        <row r="47">
          <cell r="B47" t="str">
            <v xml:space="preserve">         00641 Sydney Water Corporation</v>
          </cell>
          <cell r="C47">
            <v>-7682</v>
          </cell>
          <cell r="D47">
            <v>-8407</v>
          </cell>
          <cell r="E47">
            <v>-9293</v>
          </cell>
          <cell r="F47">
            <v>-10111</v>
          </cell>
          <cell r="G47">
            <v>-10790</v>
          </cell>
          <cell r="H47" t="str">
            <v>-</v>
          </cell>
        </row>
        <row r="48">
          <cell r="B48" t="str">
            <v xml:space="preserve">         00647 Zoological Parks Board of New South Wales</v>
          </cell>
          <cell r="C48">
            <v>-16</v>
          </cell>
          <cell r="D48">
            <v>-42</v>
          </cell>
          <cell r="E48">
            <v>-54</v>
          </cell>
          <cell r="F48">
            <v>-54</v>
          </cell>
          <cell r="G48">
            <v>-53</v>
          </cell>
          <cell r="H48" t="str">
            <v>-</v>
          </cell>
        </row>
        <row r="49">
          <cell r="B49" t="str">
            <v xml:space="preserve">         00653 Place Management NSW</v>
          </cell>
          <cell r="C49">
            <v>-1532</v>
          </cell>
          <cell r="D49">
            <v>-1509</v>
          </cell>
          <cell r="E49">
            <v>-1485</v>
          </cell>
          <cell r="F49">
            <v>-1475</v>
          </cell>
          <cell r="G49">
            <v>-1465</v>
          </cell>
          <cell r="H49" t="str">
            <v>-</v>
          </cell>
        </row>
        <row r="50">
          <cell r="B50" t="str">
            <v xml:space="preserve">         00657 Rail Corporation New South Wales</v>
          </cell>
          <cell r="C50">
            <v>-2443</v>
          </cell>
          <cell r="D50">
            <v>-2507</v>
          </cell>
          <cell r="E50">
            <v>-2504</v>
          </cell>
          <cell r="F50">
            <v>-2500</v>
          </cell>
          <cell r="G50">
            <v>-2497</v>
          </cell>
          <cell r="H50" t="str">
            <v>-</v>
          </cell>
        </row>
        <row r="51">
          <cell r="B51" t="str">
            <v xml:space="preserve">         00659 Water NSW</v>
          </cell>
          <cell r="C51">
            <v>-644</v>
          </cell>
          <cell r="D51">
            <v>-1540</v>
          </cell>
          <cell r="E51">
            <v>-1919</v>
          </cell>
          <cell r="F51">
            <v>-1928</v>
          </cell>
          <cell r="G51">
            <v>-2216</v>
          </cell>
          <cell r="H51" t="str">
            <v>-</v>
          </cell>
        </row>
        <row r="52">
          <cell r="B52" t="str">
            <v xml:space="preserve">         00667 Venues NSW</v>
          </cell>
          <cell r="C52">
            <v>-113</v>
          </cell>
          <cell r="D52">
            <v>-163</v>
          </cell>
          <cell r="E52">
            <v>-193</v>
          </cell>
          <cell r="F52">
            <v>-222</v>
          </cell>
          <cell r="G52">
            <v>-222</v>
          </cell>
          <cell r="H52" t="str">
            <v>-</v>
          </cell>
        </row>
        <row r="53">
          <cell r="B53" t="str">
            <v xml:space="preserve">         00672 Sydney Trains</v>
          </cell>
          <cell r="C53">
            <v>-2016</v>
          </cell>
          <cell r="D53">
            <v>-2016</v>
          </cell>
          <cell r="E53">
            <v>-2016</v>
          </cell>
          <cell r="F53">
            <v>-2016</v>
          </cell>
          <cell r="G53">
            <v>-2016</v>
          </cell>
          <cell r="H53" t="str">
            <v>-</v>
          </cell>
        </row>
        <row r="54">
          <cell r="B54" t="str">
            <v xml:space="preserve">         00676 WCX M4 PTY Limited</v>
          </cell>
          <cell r="C54">
            <v>-297</v>
          </cell>
          <cell r="D54">
            <v>-1357</v>
          </cell>
          <cell r="E54">
            <v>-1724</v>
          </cell>
          <cell r="F54">
            <v>-1724</v>
          </cell>
          <cell r="G54">
            <v>-1724</v>
          </cell>
          <cell r="H54" t="str">
            <v>-</v>
          </cell>
        </row>
        <row r="55">
          <cell r="B55" t="str">
            <v xml:space="preserve">         00678 WCX M5 PTY Limited</v>
          </cell>
          <cell r="C55">
            <v>-1028</v>
          </cell>
          <cell r="D55">
            <v>-2268</v>
          </cell>
          <cell r="E55">
            <v>-3318</v>
          </cell>
          <cell r="F55">
            <v>-3672</v>
          </cell>
          <cell r="G55">
            <v>-3746</v>
          </cell>
          <cell r="H55" t="str">
            <v>-</v>
          </cell>
        </row>
        <row r="65">
          <cell r="C65" t="str">
            <v xml:space="preserve">    2016-17</v>
          </cell>
          <cell r="D65" t="str">
            <v xml:space="preserve">    2017-18</v>
          </cell>
          <cell r="E65" t="str">
            <v xml:space="preserve">    2018-19</v>
          </cell>
          <cell r="F65" t="str">
            <v xml:space="preserve">    2019-20</v>
          </cell>
          <cell r="G65" t="str">
            <v xml:space="preserve">    2020-21</v>
          </cell>
          <cell r="H65" t="str">
            <v xml:space="preserve">    2021-22</v>
          </cell>
        </row>
        <row r="66">
          <cell r="B66" t="str">
            <v>Agency</v>
          </cell>
          <cell r="C66" t="str">
            <v xml:space="preserve">      $m</v>
          </cell>
          <cell r="D66" t="str">
            <v xml:space="preserve">      $m</v>
          </cell>
          <cell r="E66" t="str">
            <v xml:space="preserve">      $m</v>
          </cell>
          <cell r="F66" t="str">
            <v xml:space="preserve">      $m</v>
          </cell>
          <cell r="G66" t="str">
            <v xml:space="preserve">      $m</v>
          </cell>
          <cell r="H66" t="str">
            <v xml:space="preserve">      $m</v>
          </cell>
        </row>
        <row r="67">
          <cell r="C67" t="str">
            <v xml:space="preserve">  Projection</v>
          </cell>
          <cell r="D67" t="str">
            <v xml:space="preserve">   Estimate</v>
          </cell>
          <cell r="E67" t="str">
            <v xml:space="preserve">   Estimate</v>
          </cell>
          <cell r="F67" t="str">
            <v xml:space="preserve">   Estimate</v>
          </cell>
          <cell r="G67" t="str">
            <v xml:space="preserve">   Estimate</v>
          </cell>
          <cell r="H67" t="str">
            <v xml:space="preserve">   Estimate</v>
          </cell>
        </row>
        <row r="69">
          <cell r="B69" t="str">
            <v xml:space="preserve">         00703 Accounting &amp;GFS Adjustments-PFEs, inc adj TCorp fromMV</v>
          </cell>
          <cell r="C69">
            <v>331</v>
          </cell>
          <cell r="D69">
            <v>331</v>
          </cell>
          <cell r="E69">
            <v>331</v>
          </cell>
          <cell r="F69">
            <v>331</v>
          </cell>
          <cell r="G69">
            <v>331</v>
          </cell>
          <cell r="H69" t="str">
            <v>-</v>
          </cell>
        </row>
        <row r="70">
          <cell r="B70" t="str">
            <v>Total Debt (adj to remove TC interest payable)</v>
          </cell>
          <cell r="C70">
            <v>458</v>
          </cell>
          <cell r="D70">
            <v>477</v>
          </cell>
          <cell r="E70">
            <v>533</v>
          </cell>
          <cell r="F70">
            <v>630</v>
          </cell>
          <cell r="G70">
            <v>690</v>
          </cell>
          <cell r="H70" t="str">
            <v>-</v>
          </cell>
        </row>
        <row r="71">
          <cell r="B71" t="str">
            <v xml:space="preserve">         00538 New South Wales Treasury Corporation</v>
          </cell>
          <cell r="C71">
            <v>-458</v>
          </cell>
          <cell r="D71">
            <v>-477</v>
          </cell>
          <cell r="E71">
            <v>-533</v>
          </cell>
          <cell r="F71">
            <v>-630</v>
          </cell>
          <cell r="G71">
            <v>-690</v>
          </cell>
          <cell r="H71" t="str">
            <v>-</v>
          </cell>
        </row>
        <row r="72">
          <cell r="B72" t="str">
            <v>Total Debt (adj to remove TC Mkt value increments)</v>
          </cell>
          <cell r="C72">
            <v>3614</v>
          </cell>
          <cell r="D72">
            <v>2535</v>
          </cell>
          <cell r="E72">
            <v>1387</v>
          </cell>
          <cell r="F72">
            <v>104</v>
          </cell>
          <cell r="G72">
            <v>-381</v>
          </cell>
          <cell r="H72" t="str">
            <v>-</v>
          </cell>
        </row>
        <row r="73">
          <cell r="B73" t="str">
            <v xml:space="preserve">         00538 New South Wales Treasury Corporation</v>
          </cell>
          <cell r="C73">
            <v>-3614</v>
          </cell>
          <cell r="D73">
            <v>-2535</v>
          </cell>
          <cell r="E73">
            <v>-1387</v>
          </cell>
          <cell r="F73">
            <v>-104</v>
          </cell>
          <cell r="G73">
            <v>381</v>
          </cell>
          <cell r="H73" t="str">
            <v>-</v>
          </cell>
        </row>
        <row r="75">
          <cell r="B75" t="str">
            <v>Total Debt (per Moodies defn.excludes MV adj, int.ac.&amp;derivs/deposits)</v>
          </cell>
          <cell r="C75">
            <v>-116542</v>
          </cell>
          <cell r="D75">
            <v>-121241</v>
          </cell>
          <cell r="E75">
            <v>-134874</v>
          </cell>
          <cell r="F75">
            <v>-148048</v>
          </cell>
          <cell r="G75">
            <v>-154713</v>
          </cell>
          <cell r="H75" t="str">
            <v>-</v>
          </cell>
        </row>
        <row r="77">
          <cell r="B77" t="str">
            <v>Need to deduct Ports/Electricity/Water (unelimnated) from above</v>
          </cell>
          <cell r="C77" t="str">
            <v>-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</row>
        <row r="79">
          <cell r="B79" t="str">
            <v>eliminated Total.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8">
          <cell r="B88">
            <v>0</v>
          </cell>
          <cell r="C88">
            <v>-14658</v>
          </cell>
          <cell r="D88">
            <v>-16585</v>
          </cell>
          <cell r="E88">
            <v>-18357</v>
          </cell>
          <cell r="F88">
            <v>-19470</v>
          </cell>
          <cell r="G88">
            <v>-20648</v>
          </cell>
          <cell r="H8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Govt Sector"/>
      <sheetName val="Total State Sector"/>
      <sheetName val="GSP"/>
      <sheetName val="GG BS 2014-19 Screen"/>
      <sheetName val="GG BS 2015-2020"/>
      <sheetName val="GG BS 2017-2022"/>
      <sheetName val="GG OPS 2014-19 Screen"/>
      <sheetName val="GG OPS 2015-2020"/>
      <sheetName val="GG OPS 2016-2021"/>
      <sheetName val="TSS BS 2014-19 Screen"/>
      <sheetName val="TSS BS 2015-2020"/>
      <sheetName val="TSS BS2016-2021"/>
      <sheetName val="TNFS BS 2014-19 Screen"/>
      <sheetName val="TNFS BS 2015-2020"/>
      <sheetName val="TNFS BS 2016-2021"/>
      <sheetName val="TNFS CF 2014-19 Screen"/>
      <sheetName val="TNFS CF 2015-2020"/>
      <sheetName val="TSS Insurance P12"/>
      <sheetName val="GG Insurance P12"/>
      <sheetName val="TNFS CF 2016-2021"/>
    </sheetNames>
    <sheetDataSet>
      <sheetData sheetId="0">
        <row r="1">
          <cell r="L1" t="str">
            <v>Report generated at 10:23:05 on 09.06.2017 for Budget 2017-18</v>
          </cell>
        </row>
        <row r="2">
          <cell r="C2" t="str">
            <v xml:space="preserve">PREPARED ON A GAAP-GFS HARMONISED BASIS </v>
          </cell>
        </row>
      </sheetData>
      <sheetData sheetId="1"/>
      <sheetData sheetId="2">
        <row r="65">
          <cell r="D65">
            <v>413137</v>
          </cell>
        </row>
        <row r="66">
          <cell r="D66">
            <v>444838</v>
          </cell>
        </row>
        <row r="67">
          <cell r="D67">
            <v>465049</v>
          </cell>
        </row>
        <row r="68">
          <cell r="D68">
            <v>480592</v>
          </cell>
        </row>
        <row r="69">
          <cell r="D69">
            <v>495235</v>
          </cell>
        </row>
        <row r="70">
          <cell r="D70">
            <v>513309</v>
          </cell>
        </row>
        <row r="72">
          <cell r="E72">
            <v>572300</v>
          </cell>
        </row>
        <row r="73">
          <cell r="E73">
            <v>596400</v>
          </cell>
        </row>
        <row r="74">
          <cell r="E74">
            <v>626000</v>
          </cell>
        </row>
        <row r="75">
          <cell r="E75">
            <v>657100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7">
          <cell r="B7" t="str">
            <v>STATEMENT OF FINANCIAL POSITION</v>
          </cell>
          <cell r="C7" t="str">
            <v xml:space="preserve">    Actuals</v>
          </cell>
          <cell r="D7" t="str">
            <v xml:space="preserve">    Budget</v>
          </cell>
          <cell r="E7" t="str">
            <v xml:space="preserve">  Projection</v>
          </cell>
          <cell r="F7" t="str">
            <v xml:space="preserve">    Budget</v>
          </cell>
          <cell r="G7" t="str">
            <v xml:space="preserve">    Budget</v>
          </cell>
          <cell r="H7" t="str">
            <v xml:space="preserve">    Budget</v>
          </cell>
          <cell r="I7" t="str">
            <v xml:space="preserve">    Budget</v>
          </cell>
        </row>
        <row r="8">
          <cell r="C8" t="str">
            <v xml:space="preserve">    2015-16</v>
          </cell>
          <cell r="D8" t="str">
            <v xml:space="preserve">    2016-17</v>
          </cell>
          <cell r="E8" t="str">
            <v xml:space="preserve">    2016-17</v>
          </cell>
          <cell r="F8" t="str">
            <v xml:space="preserve">    2017-18</v>
          </cell>
          <cell r="G8" t="str">
            <v xml:space="preserve">    2018-19</v>
          </cell>
          <cell r="H8" t="str">
            <v xml:space="preserve">    2019-20</v>
          </cell>
          <cell r="I8" t="str">
            <v xml:space="preserve">    2020-21</v>
          </cell>
        </row>
        <row r="9">
          <cell r="B9" t="str">
            <v>STATEMENT OF FINANCIAL POSITION</v>
          </cell>
          <cell r="C9" t="str">
            <v xml:space="preserve">      $m</v>
          </cell>
          <cell r="D9" t="str">
            <v xml:space="preserve">      $m</v>
          </cell>
          <cell r="E9" t="str">
            <v xml:space="preserve">      $m</v>
          </cell>
          <cell r="F9" t="str">
            <v xml:space="preserve">      $m</v>
          </cell>
          <cell r="G9" t="str">
            <v xml:space="preserve">      $m</v>
          </cell>
          <cell r="H9" t="str">
            <v xml:space="preserve">      $m</v>
          </cell>
          <cell r="I9" t="str">
            <v xml:space="preserve">      $m</v>
          </cell>
        </row>
        <row r="11">
          <cell r="B11" t="str">
            <v>AASB 1049 GFS-GAAP Harmonised Balance Sheet for Total State Sector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</row>
        <row r="12">
          <cell r="B12" t="str">
            <v>ASSETS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</row>
        <row r="13">
          <cell r="B13" t="str">
            <v>Financial Assets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</row>
        <row r="14">
          <cell r="B14" t="str">
            <v>Cash and Cash Equivalent Assets (*)</v>
          </cell>
          <cell r="C14">
            <v>10874</v>
          </cell>
          <cell r="D14">
            <v>5572</v>
          </cell>
          <cell r="E14">
            <v>15323</v>
          </cell>
          <cell r="F14">
            <v>7227</v>
          </cell>
          <cell r="G14">
            <v>7263</v>
          </cell>
          <cell r="H14">
            <v>7196</v>
          </cell>
          <cell r="I14">
            <v>6327</v>
          </cell>
        </row>
        <row r="15">
          <cell r="B15" t="str">
            <v>Receivables</v>
          </cell>
          <cell r="C15">
            <v>6117</v>
          </cell>
          <cell r="D15">
            <v>5640</v>
          </cell>
          <cell r="E15">
            <v>5308</v>
          </cell>
          <cell r="F15">
            <v>5065</v>
          </cell>
          <cell r="G15">
            <v>4962</v>
          </cell>
          <cell r="H15">
            <v>4864</v>
          </cell>
          <cell r="I15">
            <v>4890</v>
          </cell>
        </row>
        <row r="16">
          <cell r="B16" t="str">
            <v>Tax Equivalents Receivable</v>
          </cell>
          <cell r="C16" t="str">
            <v>-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</row>
        <row r="17">
          <cell r="B17" t="str">
            <v>Financial Assets at Fair Value (*)</v>
          </cell>
          <cell r="C17">
            <v>19115</v>
          </cell>
          <cell r="D17">
            <v>27390</v>
          </cell>
          <cell r="E17">
            <v>27821</v>
          </cell>
          <cell r="F17">
            <v>26811</v>
          </cell>
          <cell r="G17">
            <v>24139</v>
          </cell>
          <cell r="H17">
            <v>23612</v>
          </cell>
          <cell r="I17">
            <v>23825</v>
          </cell>
        </row>
        <row r="18">
          <cell r="B18" t="str">
            <v>Other Financial Assets (*)</v>
          </cell>
          <cell r="C18">
            <v>12650</v>
          </cell>
          <cell r="D18">
            <v>5344</v>
          </cell>
          <cell r="E18">
            <v>6054</v>
          </cell>
          <cell r="F18">
            <v>3501</v>
          </cell>
          <cell r="G18">
            <v>2100</v>
          </cell>
          <cell r="H18">
            <v>2170</v>
          </cell>
          <cell r="I18">
            <v>1844</v>
          </cell>
        </row>
        <row r="19">
          <cell r="B19" t="str">
            <v>Advances paid (*)</v>
          </cell>
          <cell r="C19">
            <v>659</v>
          </cell>
          <cell r="D19">
            <v>847</v>
          </cell>
          <cell r="E19">
            <v>612</v>
          </cell>
          <cell r="F19">
            <v>720</v>
          </cell>
          <cell r="G19">
            <v>818</v>
          </cell>
          <cell r="H19">
            <v>966</v>
          </cell>
          <cell r="I19">
            <v>1087</v>
          </cell>
        </row>
        <row r="20">
          <cell r="B20" t="str">
            <v>Deferred Tax Equivalents</v>
          </cell>
          <cell r="C20" t="str">
            <v>-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</row>
        <row r="21">
          <cell r="B21" t="str">
            <v>Equity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</row>
        <row r="22">
          <cell r="B22" t="str">
            <v xml:space="preserve">   Investments in Other Public Sector Entities</v>
          </cell>
          <cell r="C22" t="str">
            <v>-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</row>
        <row r="23">
          <cell r="B23" t="str">
            <v xml:space="preserve">   Investments in Associates</v>
          </cell>
          <cell r="C23">
            <v>3785</v>
          </cell>
          <cell r="D23">
            <v>3928</v>
          </cell>
          <cell r="E23">
            <v>9594</v>
          </cell>
          <cell r="F23">
            <v>9592</v>
          </cell>
          <cell r="G23">
            <v>9609</v>
          </cell>
          <cell r="H23">
            <v>9615</v>
          </cell>
          <cell r="I23">
            <v>9640</v>
          </cell>
        </row>
        <row r="24">
          <cell r="B24" t="str">
            <v xml:space="preserve">   Other</v>
          </cell>
          <cell r="C24">
            <v>8693</v>
          </cell>
          <cell r="D24">
            <v>9142</v>
          </cell>
          <cell r="E24">
            <v>16079</v>
          </cell>
          <cell r="F24">
            <v>19332</v>
          </cell>
          <cell r="G24">
            <v>18412</v>
          </cell>
          <cell r="H24">
            <v>18324</v>
          </cell>
          <cell r="I24">
            <v>19081</v>
          </cell>
        </row>
        <row r="25">
          <cell r="B25" t="str">
            <v>Total Financial Assets</v>
          </cell>
          <cell r="C25">
            <v>61893</v>
          </cell>
          <cell r="D25">
            <v>57863</v>
          </cell>
          <cell r="E25">
            <v>80790</v>
          </cell>
          <cell r="F25">
            <v>72249</v>
          </cell>
          <cell r="G25">
            <v>67302</v>
          </cell>
          <cell r="H25">
            <v>66747</v>
          </cell>
          <cell r="I25">
            <v>66693</v>
          </cell>
        </row>
        <row r="27">
          <cell r="B27" t="str">
            <v>Non-Financial Assets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</row>
        <row r="28">
          <cell r="B28" t="str">
            <v>Inventories</v>
          </cell>
          <cell r="C28">
            <v>962</v>
          </cell>
          <cell r="D28">
            <v>791</v>
          </cell>
          <cell r="E28">
            <v>789</v>
          </cell>
          <cell r="F28">
            <v>595</v>
          </cell>
          <cell r="G28">
            <v>594</v>
          </cell>
          <cell r="H28">
            <v>582</v>
          </cell>
          <cell r="I28">
            <v>717</v>
          </cell>
        </row>
        <row r="29">
          <cell r="B29" t="str">
            <v>Forestry Stock and Other Biological Assets</v>
          </cell>
          <cell r="C29">
            <v>956</v>
          </cell>
          <cell r="D29">
            <v>910</v>
          </cell>
          <cell r="E29">
            <v>1003</v>
          </cell>
          <cell r="F29">
            <v>1003</v>
          </cell>
          <cell r="G29">
            <v>1003</v>
          </cell>
          <cell r="H29">
            <v>1003</v>
          </cell>
          <cell r="I29">
            <v>1028</v>
          </cell>
        </row>
        <row r="30">
          <cell r="B30" t="str">
            <v>Assets Classified as Held for Sale</v>
          </cell>
          <cell r="C30">
            <v>607</v>
          </cell>
          <cell r="D30">
            <v>177</v>
          </cell>
          <cell r="E30">
            <v>395</v>
          </cell>
          <cell r="F30">
            <v>280</v>
          </cell>
          <cell r="G30">
            <v>133</v>
          </cell>
          <cell r="H30">
            <v>109</v>
          </cell>
          <cell r="I30">
            <v>114</v>
          </cell>
        </row>
        <row r="31">
          <cell r="B31" t="str">
            <v>Investment Properties</v>
          </cell>
          <cell r="C31">
            <v>507</v>
          </cell>
          <cell r="D31">
            <v>530</v>
          </cell>
          <cell r="E31">
            <v>566</v>
          </cell>
          <cell r="F31">
            <v>447</v>
          </cell>
          <cell r="G31">
            <v>458</v>
          </cell>
          <cell r="H31">
            <v>470</v>
          </cell>
          <cell r="I31">
            <v>482</v>
          </cell>
        </row>
        <row r="32">
          <cell r="B32" t="str">
            <v>Property, Plant and Equipment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</row>
        <row r="33">
          <cell r="B33" t="str">
            <v xml:space="preserve">      Land and Buildings</v>
          </cell>
          <cell r="C33">
            <v>135531</v>
          </cell>
          <cell r="D33">
            <v>138676</v>
          </cell>
          <cell r="E33">
            <v>142651</v>
          </cell>
          <cell r="F33">
            <v>148743</v>
          </cell>
          <cell r="G33">
            <v>153811</v>
          </cell>
          <cell r="H33">
            <v>157551</v>
          </cell>
          <cell r="I33">
            <v>161270</v>
          </cell>
        </row>
        <row r="34">
          <cell r="B34" t="str">
            <v xml:space="preserve">      Plant and Equipment</v>
          </cell>
          <cell r="C34">
            <v>17261</v>
          </cell>
          <cell r="D34">
            <v>18786</v>
          </cell>
          <cell r="E34">
            <v>18018</v>
          </cell>
          <cell r="F34">
            <v>18875</v>
          </cell>
          <cell r="G34">
            <v>19312</v>
          </cell>
          <cell r="H34">
            <v>19622</v>
          </cell>
          <cell r="I34">
            <v>20309</v>
          </cell>
        </row>
        <row r="35">
          <cell r="B35" t="str">
            <v xml:space="preserve">      Infrastructure Systems</v>
          </cell>
          <cell r="C35">
            <v>151454</v>
          </cell>
          <cell r="D35">
            <v>165883</v>
          </cell>
          <cell r="E35">
            <v>145740</v>
          </cell>
          <cell r="F35">
            <v>157702</v>
          </cell>
          <cell r="G35">
            <v>175297</v>
          </cell>
          <cell r="H35">
            <v>183529</v>
          </cell>
          <cell r="I35">
            <v>189435</v>
          </cell>
        </row>
        <row r="36">
          <cell r="B36" t="str">
            <v>Intangibles</v>
          </cell>
          <cell r="C36">
            <v>4157</v>
          </cell>
          <cell r="D36">
            <v>4568</v>
          </cell>
          <cell r="E36">
            <v>4220</v>
          </cell>
          <cell r="F36">
            <v>4401</v>
          </cell>
          <cell r="G36">
            <v>4216</v>
          </cell>
          <cell r="H36">
            <v>3922</v>
          </cell>
          <cell r="I36">
            <v>3601</v>
          </cell>
        </row>
        <row r="37">
          <cell r="B37" t="str">
            <v>Other Non-Financial Assets</v>
          </cell>
          <cell r="C37">
            <v>3670</v>
          </cell>
          <cell r="D37">
            <v>4705</v>
          </cell>
          <cell r="E37">
            <v>4544</v>
          </cell>
          <cell r="F37">
            <v>6003</v>
          </cell>
          <cell r="G37">
            <v>4641</v>
          </cell>
          <cell r="H37">
            <v>6606</v>
          </cell>
          <cell r="I37">
            <v>8767</v>
          </cell>
        </row>
        <row r="38">
          <cell r="B38" t="str">
            <v>Total Non-financial Assets</v>
          </cell>
          <cell r="C38">
            <v>315106</v>
          </cell>
          <cell r="D38">
            <v>335026</v>
          </cell>
          <cell r="E38">
            <v>317926</v>
          </cell>
          <cell r="F38">
            <v>338049</v>
          </cell>
          <cell r="G38">
            <v>359466</v>
          </cell>
          <cell r="H38">
            <v>373393</v>
          </cell>
          <cell r="I38">
            <v>385723</v>
          </cell>
        </row>
        <row r="40">
          <cell r="B40" t="str">
            <v>TOTAL ASSETS</v>
          </cell>
          <cell r="C40">
            <v>376999</v>
          </cell>
          <cell r="D40">
            <v>392889</v>
          </cell>
          <cell r="E40">
            <v>398716</v>
          </cell>
          <cell r="F40">
            <v>410298</v>
          </cell>
          <cell r="G40">
            <v>426768</v>
          </cell>
          <cell r="H40">
            <v>440140</v>
          </cell>
          <cell r="I40">
            <v>452417</v>
          </cell>
        </row>
        <row r="42">
          <cell r="B42" t="str">
            <v>LIABILITIES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</row>
        <row r="43">
          <cell r="B43" t="str">
            <v>Deposits Held (*)</v>
          </cell>
          <cell r="C43">
            <v>397</v>
          </cell>
          <cell r="D43">
            <v>4981</v>
          </cell>
          <cell r="E43">
            <v>693</v>
          </cell>
          <cell r="F43">
            <v>680</v>
          </cell>
          <cell r="G43">
            <v>669</v>
          </cell>
          <cell r="H43">
            <v>675</v>
          </cell>
          <cell r="I43">
            <v>680</v>
          </cell>
        </row>
        <row r="44">
          <cell r="B44" t="str">
            <v>Payables</v>
          </cell>
          <cell r="C44">
            <v>6986</v>
          </cell>
          <cell r="D44">
            <v>6316</v>
          </cell>
          <cell r="E44">
            <v>6508</v>
          </cell>
          <cell r="F44">
            <v>6652</v>
          </cell>
          <cell r="G44">
            <v>6313</v>
          </cell>
          <cell r="H44">
            <v>6125</v>
          </cell>
          <cell r="I44">
            <v>6124</v>
          </cell>
        </row>
        <row r="45">
          <cell r="B45" t="str">
            <v>Tax Equivalents Payable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</row>
        <row r="46">
          <cell r="B46" t="str">
            <v>Liabilities Directly Associated with Assets Held for Sale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</row>
        <row r="47">
          <cell r="B47" t="str">
            <v>Borrowings and Derivatives at Fair Value (*)</v>
          </cell>
          <cell r="C47">
            <v>74921</v>
          </cell>
          <cell r="D47">
            <v>75526</v>
          </cell>
          <cell r="E47">
            <v>64653</v>
          </cell>
          <cell r="F47">
            <v>66051</v>
          </cell>
          <cell r="G47">
            <v>70685</v>
          </cell>
          <cell r="H47">
            <v>76097</v>
          </cell>
          <cell r="I47">
            <v>79003</v>
          </cell>
        </row>
        <row r="48">
          <cell r="B48" t="str">
            <v>Borrowings at Amortised Cost (*)</v>
          </cell>
          <cell r="C48">
            <v>5176</v>
          </cell>
          <cell r="D48">
            <v>7176</v>
          </cell>
          <cell r="E48">
            <v>7275</v>
          </cell>
          <cell r="F48">
            <v>8034</v>
          </cell>
          <cell r="G48">
            <v>10981</v>
          </cell>
          <cell r="H48">
            <v>11066</v>
          </cell>
          <cell r="I48">
            <v>10984</v>
          </cell>
        </row>
        <row r="49">
          <cell r="B49" t="str">
            <v>Advances Received(*)</v>
          </cell>
          <cell r="C49">
            <v>857</v>
          </cell>
          <cell r="D49">
            <v>873</v>
          </cell>
          <cell r="E49">
            <v>819</v>
          </cell>
          <cell r="F49">
            <v>759</v>
          </cell>
          <cell r="G49">
            <v>736</v>
          </cell>
          <cell r="H49">
            <v>785</v>
          </cell>
          <cell r="I49">
            <v>834</v>
          </cell>
        </row>
        <row r="50">
          <cell r="B50" t="str">
            <v>Employee Provisions</v>
          </cell>
          <cell r="C50">
            <v>18537</v>
          </cell>
          <cell r="D50">
            <v>18031</v>
          </cell>
          <cell r="E50">
            <v>17795</v>
          </cell>
          <cell r="F50">
            <v>17884</v>
          </cell>
          <cell r="G50">
            <v>18089</v>
          </cell>
          <cell r="H50">
            <v>18306</v>
          </cell>
          <cell r="I50">
            <v>18674</v>
          </cell>
        </row>
        <row r="51">
          <cell r="B51" t="str">
            <v>Superannuation Provision</v>
          </cell>
          <cell r="C51">
            <v>71159</v>
          </cell>
          <cell r="D51">
            <v>58091</v>
          </cell>
          <cell r="E51">
            <v>55996</v>
          </cell>
          <cell r="F51">
            <v>51507</v>
          </cell>
          <cell r="G51">
            <v>47109</v>
          </cell>
          <cell r="H51">
            <v>42971</v>
          </cell>
          <cell r="I51">
            <v>41199</v>
          </cell>
        </row>
        <row r="52">
          <cell r="B52" t="str">
            <v>Deferred Tax Equivalent Provision</v>
          </cell>
          <cell r="C52" t="str">
            <v>-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</row>
        <row r="53">
          <cell r="B53" t="str">
            <v>Other Provisions</v>
          </cell>
          <cell r="C53">
            <v>11980</v>
          </cell>
          <cell r="D53">
            <v>12586</v>
          </cell>
          <cell r="E53">
            <v>12407</v>
          </cell>
          <cell r="F53">
            <v>12811</v>
          </cell>
          <cell r="G53">
            <v>13369</v>
          </cell>
          <cell r="H53">
            <v>13949</v>
          </cell>
          <cell r="I53">
            <v>14611</v>
          </cell>
        </row>
        <row r="54">
          <cell r="B54" t="str">
            <v>Other Liabilities</v>
          </cell>
          <cell r="C54">
            <v>5186</v>
          </cell>
          <cell r="D54">
            <v>4331</v>
          </cell>
          <cell r="E54">
            <v>7711</v>
          </cell>
          <cell r="F54">
            <v>8168</v>
          </cell>
          <cell r="G54">
            <v>8024</v>
          </cell>
          <cell r="H54">
            <v>7834</v>
          </cell>
          <cell r="I54">
            <v>7759</v>
          </cell>
        </row>
        <row r="65">
          <cell r="B65" t="str">
            <v>STATEMENT OF FINANCIAL POSITION</v>
          </cell>
          <cell r="C65" t="str">
            <v xml:space="preserve">    Actuals</v>
          </cell>
          <cell r="D65" t="str">
            <v xml:space="preserve">    Budget</v>
          </cell>
          <cell r="E65" t="str">
            <v xml:space="preserve">  Projection</v>
          </cell>
          <cell r="F65" t="str">
            <v xml:space="preserve">    Budget</v>
          </cell>
          <cell r="G65" t="str">
            <v xml:space="preserve">    Budget</v>
          </cell>
          <cell r="H65" t="str">
            <v xml:space="preserve">    Budget</v>
          </cell>
          <cell r="I65" t="str">
            <v xml:space="preserve">    Budget</v>
          </cell>
        </row>
        <row r="66">
          <cell r="C66" t="str">
            <v xml:space="preserve">    2015-16</v>
          </cell>
          <cell r="D66" t="str">
            <v xml:space="preserve">    2016-17</v>
          </cell>
          <cell r="E66" t="str">
            <v xml:space="preserve">    2016-17</v>
          </cell>
          <cell r="F66" t="str">
            <v xml:space="preserve">    2017-18</v>
          </cell>
          <cell r="G66" t="str">
            <v xml:space="preserve">    2018-19</v>
          </cell>
          <cell r="H66" t="str">
            <v xml:space="preserve">    2019-20</v>
          </cell>
          <cell r="I66" t="str">
            <v xml:space="preserve">    2020-21</v>
          </cell>
        </row>
        <row r="67">
          <cell r="B67" t="str">
            <v>STATEMENT OF FINANCIAL POSITION</v>
          </cell>
          <cell r="C67" t="str">
            <v xml:space="preserve">      $m</v>
          </cell>
          <cell r="D67" t="str">
            <v xml:space="preserve">      $m</v>
          </cell>
          <cell r="E67" t="str">
            <v xml:space="preserve">      $m</v>
          </cell>
          <cell r="F67" t="str">
            <v xml:space="preserve">      $m</v>
          </cell>
          <cell r="G67" t="str">
            <v xml:space="preserve">      $m</v>
          </cell>
          <cell r="H67" t="str">
            <v xml:space="preserve">      $m</v>
          </cell>
          <cell r="I67" t="str">
            <v xml:space="preserve">      $m</v>
          </cell>
        </row>
        <row r="69">
          <cell r="B69" t="str">
            <v>TOTAL LIABILITIES</v>
          </cell>
          <cell r="C69">
            <v>195198</v>
          </cell>
          <cell r="D69">
            <v>187910</v>
          </cell>
          <cell r="E69">
            <v>173856</v>
          </cell>
          <cell r="F69">
            <v>172546</v>
          </cell>
          <cell r="G69">
            <v>175973</v>
          </cell>
          <cell r="H69">
            <v>177807</v>
          </cell>
          <cell r="I69">
            <v>179868</v>
          </cell>
        </row>
        <row r="71">
          <cell r="B71" t="str">
            <v>NET ASSETS</v>
          </cell>
          <cell r="C71">
            <v>181801</v>
          </cell>
          <cell r="D71">
            <v>204978</v>
          </cell>
          <cell r="E71">
            <v>224860</v>
          </cell>
          <cell r="F71">
            <v>237752</v>
          </cell>
          <cell r="G71">
            <v>250795</v>
          </cell>
          <cell r="H71">
            <v>262332</v>
          </cell>
          <cell r="I71">
            <v>272549</v>
          </cell>
        </row>
        <row r="73">
          <cell r="B73" t="str">
            <v>NET WORTH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</row>
        <row r="74">
          <cell r="B74" t="str">
            <v>Accumulated Funds</v>
          </cell>
          <cell r="C74">
            <v>49993</v>
          </cell>
          <cell r="D74">
            <v>66236</v>
          </cell>
          <cell r="E74">
            <v>84870</v>
          </cell>
          <cell r="F74">
            <v>91725</v>
          </cell>
          <cell r="G74">
            <v>97882</v>
          </cell>
          <cell r="H74">
            <v>104367</v>
          </cell>
          <cell r="I74">
            <v>109111</v>
          </cell>
        </row>
        <row r="75">
          <cell r="B75" t="str">
            <v>Reserves</v>
          </cell>
          <cell r="C75">
            <v>131809</v>
          </cell>
          <cell r="D75">
            <v>138742</v>
          </cell>
          <cell r="E75">
            <v>139990</v>
          </cell>
          <cell r="F75">
            <v>146031</v>
          </cell>
          <cell r="G75">
            <v>152918</v>
          </cell>
          <cell r="H75">
            <v>159262</v>
          </cell>
          <cell r="I75">
            <v>167413</v>
          </cell>
        </row>
        <row r="76">
          <cell r="B76" t="str">
            <v>TOTAL NET WORTH</v>
          </cell>
          <cell r="C76">
            <v>181801</v>
          </cell>
          <cell r="D76">
            <v>204978</v>
          </cell>
          <cell r="E76">
            <v>224860</v>
          </cell>
          <cell r="F76">
            <v>237757</v>
          </cell>
          <cell r="G76">
            <v>250799</v>
          </cell>
          <cell r="H76">
            <v>263629</v>
          </cell>
          <cell r="I76">
            <v>276524</v>
          </cell>
        </row>
        <row r="77">
          <cell r="B77" t="str">
            <v>Check Totals ie Net Worth = Net Assets (should be zero)</v>
          </cell>
          <cell r="C77" t="str">
            <v>-</v>
          </cell>
          <cell r="D77" t="str">
            <v>-</v>
          </cell>
          <cell r="E77" t="str">
            <v>-</v>
          </cell>
          <cell r="F77">
            <v>-5</v>
          </cell>
          <cell r="G77">
            <v>-5</v>
          </cell>
          <cell r="H77">
            <v>-1297</v>
          </cell>
          <cell r="I77">
            <v>-3975</v>
          </cell>
        </row>
        <row r="79">
          <cell r="B79" t="str">
            <v>**********************************************************************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</row>
        <row r="81">
          <cell r="B81" t="str">
            <v>OTHER FISCAL AGGREGATES</v>
          </cell>
          <cell r="C81" t="str">
            <v>-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</row>
        <row r="82">
          <cell r="B82" t="str">
            <v>(*) Net Debt</v>
          </cell>
          <cell r="C82">
            <v>38053</v>
          </cell>
          <cell r="D82">
            <v>49404</v>
          </cell>
          <cell r="E82">
            <v>23630</v>
          </cell>
          <cell r="F82">
            <v>37264</v>
          </cell>
          <cell r="G82">
            <v>48751</v>
          </cell>
          <cell r="H82">
            <v>54678</v>
          </cell>
          <cell r="I82">
            <v>58419</v>
          </cell>
        </row>
        <row r="83">
          <cell r="B83" t="str">
            <v>Net Financial Liabilities(=Total Liabs-Total Fin.Assets+ EquityinOPSE)</v>
          </cell>
          <cell r="C83">
            <v>133305</v>
          </cell>
          <cell r="D83">
            <v>130048</v>
          </cell>
          <cell r="E83">
            <v>93066</v>
          </cell>
          <cell r="F83">
            <v>100297</v>
          </cell>
          <cell r="G83">
            <v>108671</v>
          </cell>
          <cell r="H83">
            <v>111060</v>
          </cell>
          <cell r="I83">
            <v>113174</v>
          </cell>
        </row>
        <row r="84">
          <cell r="B84" t="str">
            <v>Net Financial Worth (=Total Fin Asset - Total Liab)</v>
          </cell>
          <cell r="C84">
            <v>-133305</v>
          </cell>
          <cell r="D84">
            <v>-130048</v>
          </cell>
          <cell r="E84">
            <v>-93066</v>
          </cell>
          <cell r="F84">
            <v>-100297</v>
          </cell>
          <cell r="G84">
            <v>-108671</v>
          </cell>
          <cell r="H84">
            <v>-111060</v>
          </cell>
          <cell r="I84">
            <v>-113174</v>
          </cell>
        </row>
        <row r="86">
          <cell r="B86" t="str">
            <v>FISCAL AGGREGATES FOR DRILL DOWN ANALYSIS eg BY AGENCY</v>
          </cell>
          <cell r="C86" t="str">
            <v>-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-</v>
          </cell>
          <cell r="H86" t="str">
            <v>-</v>
          </cell>
          <cell r="I86" t="str">
            <v>-</v>
          </cell>
        </row>
        <row r="87">
          <cell r="B87" t="str">
            <v>Gross Debt (For analysis by agency - row 912)</v>
          </cell>
          <cell r="C87">
            <v>81351</v>
          </cell>
          <cell r="D87">
            <v>88556</v>
          </cell>
          <cell r="E87">
            <v>73440</v>
          </cell>
          <cell r="F87">
            <v>75524</v>
          </cell>
          <cell r="G87">
            <v>83071</v>
          </cell>
          <cell r="H87">
            <v>88622</v>
          </cell>
          <cell r="I87">
            <v>91501</v>
          </cell>
        </row>
        <row r="88">
          <cell r="B88" t="str">
            <v>Net Debt (For analysis by agency - row 914)</v>
          </cell>
          <cell r="C88">
            <v>38053</v>
          </cell>
          <cell r="D88">
            <v>49404</v>
          </cell>
          <cell r="E88">
            <v>23630</v>
          </cell>
          <cell r="F88">
            <v>37264</v>
          </cell>
          <cell r="G88">
            <v>48751</v>
          </cell>
          <cell r="H88">
            <v>54678</v>
          </cell>
          <cell r="I88">
            <v>58419</v>
          </cell>
        </row>
        <row r="89">
          <cell r="B89" t="str">
            <v>Net Financial Liabilities - (For analysis by agency -row 916)</v>
          </cell>
          <cell r="C89">
            <v>133305</v>
          </cell>
          <cell r="D89">
            <v>130048</v>
          </cell>
          <cell r="E89">
            <v>93066</v>
          </cell>
          <cell r="F89">
            <v>100297</v>
          </cell>
          <cell r="G89">
            <v>108671</v>
          </cell>
          <cell r="H89">
            <v>111060</v>
          </cell>
          <cell r="I89">
            <v>113174</v>
          </cell>
        </row>
        <row r="90">
          <cell r="B90" t="str">
            <v>Net Financial Worth- (For analysis by agency -row 917)</v>
          </cell>
          <cell r="C90">
            <v>-133305</v>
          </cell>
          <cell r="D90">
            <v>-130048</v>
          </cell>
          <cell r="E90">
            <v>-93066</v>
          </cell>
          <cell r="F90">
            <v>-100297</v>
          </cell>
          <cell r="G90">
            <v>-108671</v>
          </cell>
          <cell r="H90">
            <v>-111060</v>
          </cell>
          <cell r="I90">
            <v>-113174</v>
          </cell>
        </row>
        <row r="91">
          <cell r="B91" t="str">
            <v>Net Worth (BRCs 060000-0899999 for Analysis by agency - row 918)</v>
          </cell>
          <cell r="C91">
            <v>181801</v>
          </cell>
          <cell r="D91">
            <v>204978</v>
          </cell>
          <cell r="E91">
            <v>224860</v>
          </cell>
          <cell r="F91">
            <v>237752</v>
          </cell>
          <cell r="G91">
            <v>250795</v>
          </cell>
          <cell r="H91">
            <v>262332</v>
          </cell>
          <cell r="I91">
            <v>272549</v>
          </cell>
        </row>
        <row r="93">
          <cell r="B93" t="str">
            <v>CONVERGENCE DIFFERENCES - BALANCE SHEET KFAs</v>
          </cell>
          <cell r="C93" t="str">
            <v>-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</row>
        <row r="94">
          <cell r="B94" t="str">
            <v>Net Worth per AASB1049</v>
          </cell>
          <cell r="C94">
            <v>181801</v>
          </cell>
          <cell r="D94">
            <v>204978</v>
          </cell>
          <cell r="E94">
            <v>224860</v>
          </cell>
          <cell r="F94">
            <v>237752</v>
          </cell>
          <cell r="G94">
            <v>250795</v>
          </cell>
          <cell r="H94">
            <v>262332</v>
          </cell>
          <cell r="I94">
            <v>272549</v>
          </cell>
        </row>
        <row r="95">
          <cell r="B95" t="str">
            <v>CDs - In Accounting but not in GFS Net Worth</v>
          </cell>
          <cell r="C95" t="str">
            <v>-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-</v>
          </cell>
          <cell r="H95" t="str">
            <v>-</v>
          </cell>
          <cell r="I95" t="str">
            <v>-</v>
          </cell>
        </row>
        <row r="96">
          <cell r="B96" t="str">
            <v xml:space="preserve">   Allowance for Doubtful Debts</v>
          </cell>
          <cell r="C96">
            <v>454</v>
          </cell>
          <cell r="D96">
            <v>412</v>
          </cell>
          <cell r="E96">
            <v>447</v>
          </cell>
          <cell r="F96">
            <v>447</v>
          </cell>
          <cell r="G96">
            <v>450</v>
          </cell>
          <cell r="H96">
            <v>454</v>
          </cell>
          <cell r="I96">
            <v>461</v>
          </cell>
        </row>
        <row r="97">
          <cell r="B97" t="str">
            <v xml:space="preserve">   Low-interest Loans - difference between the fair value and the face</v>
          </cell>
          <cell r="C97">
            <v>-364</v>
          </cell>
          <cell r="D97">
            <v>-318</v>
          </cell>
          <cell r="E97">
            <v>-327</v>
          </cell>
          <cell r="F97">
            <v>-302</v>
          </cell>
          <cell r="G97">
            <v>-272</v>
          </cell>
          <cell r="H97">
            <v>-243</v>
          </cell>
          <cell r="I97">
            <v>-221</v>
          </cell>
        </row>
        <row r="98">
          <cell r="B98" t="str">
            <v xml:space="preserve">   Lotteries Licence Deferred Income</v>
          </cell>
          <cell r="C98">
            <v>239</v>
          </cell>
          <cell r="D98">
            <v>225</v>
          </cell>
          <cell r="E98">
            <v>2879</v>
          </cell>
          <cell r="F98">
            <v>2788</v>
          </cell>
          <cell r="G98">
            <v>2695</v>
          </cell>
          <cell r="H98">
            <v>2610</v>
          </cell>
          <cell r="I98">
            <v>2525</v>
          </cell>
        </row>
        <row r="99">
          <cell r="B99" t="str">
            <v xml:space="preserve">   Onerous Contracts</v>
          </cell>
          <cell r="C99">
            <v>1256</v>
          </cell>
          <cell r="D99">
            <v>1198</v>
          </cell>
          <cell r="E99">
            <v>1246</v>
          </cell>
          <cell r="F99">
            <v>1233</v>
          </cell>
          <cell r="G99">
            <v>1206</v>
          </cell>
          <cell r="H99">
            <v>1175</v>
          </cell>
          <cell r="I99">
            <v>1135</v>
          </cell>
        </row>
        <row r="100">
          <cell r="B100" t="str">
            <v xml:space="preserve">   GG/PNFC/PFC Deferred Tax Assets and Liabilities - net</v>
          </cell>
          <cell r="C100" t="str">
            <v>-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</row>
        <row r="101">
          <cell r="B101" t="str">
            <v xml:space="preserve">   GG-Difference in  Equity Investment in PNFC/PFC sectors (Acctg vs G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</row>
        <row r="102">
          <cell r="B102" t="str">
            <v>Assets Associated with Provisions for Remediation</v>
          </cell>
          <cell r="C102">
            <v>-845</v>
          </cell>
          <cell r="D102">
            <v>-510</v>
          </cell>
          <cell r="E102">
            <v>-862</v>
          </cell>
          <cell r="F102">
            <v>-603</v>
          </cell>
          <cell r="G102">
            <v>-412</v>
          </cell>
          <cell r="H102">
            <v>-357</v>
          </cell>
          <cell r="I102">
            <v>-315</v>
          </cell>
        </row>
        <row r="103">
          <cell r="B103" t="str">
            <v>Provision Liabilities for Remediation</v>
          </cell>
          <cell r="C103">
            <v>845</v>
          </cell>
          <cell r="D103">
            <v>510</v>
          </cell>
          <cell r="E103">
            <v>862</v>
          </cell>
          <cell r="F103">
            <v>603</v>
          </cell>
          <cell r="G103">
            <v>412</v>
          </cell>
          <cell r="H103">
            <v>357</v>
          </cell>
          <cell r="I103">
            <v>315</v>
          </cell>
        </row>
        <row r="104">
          <cell r="B104" t="str">
            <v xml:space="preserve">   PNFC/PFC Net Worth is all reported as a Liability in GFS - MANUAL A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</row>
        <row r="105">
          <cell r="B105" t="str">
            <v>CDs - In GFS but not in Accounting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</row>
        <row r="106">
          <cell r="B106" t="str">
            <v xml:space="preserve">   2006 C/w Land Devt Road Grant accrued in GFS-cash basis in AASB 104</v>
          </cell>
          <cell r="C106" t="str">
            <v>-</v>
          </cell>
          <cell r="D106" t="str">
            <v>-</v>
          </cell>
          <cell r="E106" t="str">
            <v>-</v>
          </cell>
          <cell r="F106" t="str">
            <v>-</v>
          </cell>
          <cell r="G106" t="str">
            <v>-</v>
          </cell>
          <cell r="H106" t="str">
            <v>-</v>
          </cell>
          <cell r="I106" t="str">
            <v>-</v>
          </cell>
        </row>
        <row r="107">
          <cell r="B107" t="str">
            <v>Historical ZADJ backcast a/cs, in GFS-not in AGAAP</v>
          </cell>
          <cell r="C107" t="str">
            <v>-</v>
          </cell>
          <cell r="D107" t="str">
            <v>-</v>
          </cell>
          <cell r="E107" t="str">
            <v>-</v>
          </cell>
          <cell r="F107" t="str">
            <v>-</v>
          </cell>
          <cell r="G107" t="str">
            <v>-</v>
          </cell>
          <cell r="H107" t="str">
            <v>-</v>
          </cell>
          <cell r="I107" t="str">
            <v>-</v>
          </cell>
        </row>
        <row r="108">
          <cell r="B108" t="str">
            <v>Net Worth per GFS (calculated)</v>
          </cell>
          <cell r="C108">
            <v>181697</v>
          </cell>
          <cell r="D108">
            <v>205474</v>
          </cell>
          <cell r="E108">
            <v>227381</v>
          </cell>
          <cell r="F108">
            <v>240712</v>
          </cell>
          <cell r="G108">
            <v>254049</v>
          </cell>
          <cell r="H108">
            <v>265615</v>
          </cell>
          <cell r="I108">
            <v>275820</v>
          </cell>
        </row>
        <row r="109">
          <cell r="B109" t="str">
            <v>GFS Worth (using ETF ranges)</v>
          </cell>
          <cell r="C109">
            <v>182103</v>
          </cell>
          <cell r="D109">
            <v>205277</v>
          </cell>
          <cell r="E109">
            <v>227807</v>
          </cell>
          <cell r="F109">
            <v>240642</v>
          </cell>
          <cell r="G109">
            <v>253637</v>
          </cell>
          <cell r="H109">
            <v>265127</v>
          </cell>
          <cell r="I109">
            <v>275292</v>
          </cell>
        </row>
        <row r="110">
          <cell r="B110" t="str">
            <v>Difference - should be Zero</v>
          </cell>
          <cell r="C110">
            <v>-405</v>
          </cell>
          <cell r="D110">
            <v>197</v>
          </cell>
          <cell r="E110">
            <v>-426</v>
          </cell>
          <cell r="F110">
            <v>70</v>
          </cell>
          <cell r="G110">
            <v>412</v>
          </cell>
          <cell r="H110">
            <v>488</v>
          </cell>
          <cell r="I110">
            <v>529</v>
          </cell>
        </row>
        <row r="111">
          <cell r="B111" t="str">
            <v>Total Accg not in GFS Conv Differences</v>
          </cell>
          <cell r="C111">
            <v>-104</v>
          </cell>
          <cell r="D111">
            <v>496</v>
          </cell>
          <cell r="E111">
            <v>2521</v>
          </cell>
          <cell r="F111">
            <v>2960</v>
          </cell>
          <cell r="G111">
            <v>3254</v>
          </cell>
          <cell r="H111">
            <v>3283</v>
          </cell>
          <cell r="I111">
            <v>3271</v>
          </cell>
        </row>
        <row r="113">
          <cell r="B113" t="str">
            <v>RECLASSIFICATION DIFFERENCES - BALANCE SHEET Dr=+ &amp; CR=(-)</v>
          </cell>
          <cell r="C113" t="str">
            <v>-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</row>
        <row r="123">
          <cell r="B123" t="str">
            <v>STATEMENT OF FINANCIAL POSITION</v>
          </cell>
          <cell r="C123" t="str">
            <v xml:space="preserve">    Actuals</v>
          </cell>
          <cell r="D123" t="str">
            <v xml:space="preserve">    Budget</v>
          </cell>
          <cell r="E123" t="str">
            <v xml:space="preserve">  Projection</v>
          </cell>
          <cell r="F123" t="str">
            <v xml:space="preserve">    Budget</v>
          </cell>
          <cell r="G123" t="str">
            <v xml:space="preserve">    Budget</v>
          </cell>
          <cell r="H123" t="str">
            <v xml:space="preserve">    Budget</v>
          </cell>
          <cell r="I123" t="str">
            <v xml:space="preserve">    Budget</v>
          </cell>
        </row>
        <row r="124">
          <cell r="C124" t="str">
            <v xml:space="preserve">    2015-16</v>
          </cell>
          <cell r="D124" t="str">
            <v xml:space="preserve">    2016-17</v>
          </cell>
          <cell r="E124" t="str">
            <v xml:space="preserve">    2016-17</v>
          </cell>
          <cell r="F124" t="str">
            <v xml:space="preserve">    2017-18</v>
          </cell>
          <cell r="G124" t="str">
            <v xml:space="preserve">    2018-19</v>
          </cell>
          <cell r="H124" t="str">
            <v xml:space="preserve">    2019-20</v>
          </cell>
          <cell r="I124" t="str">
            <v xml:space="preserve">    2020-21</v>
          </cell>
        </row>
        <row r="125">
          <cell r="B125" t="str">
            <v>STATEMENT OF FINANCIAL POSITION</v>
          </cell>
          <cell r="C125" t="str">
            <v xml:space="preserve">      $m</v>
          </cell>
          <cell r="D125" t="str">
            <v xml:space="preserve">      $m</v>
          </cell>
          <cell r="E125" t="str">
            <v xml:space="preserve">      $m</v>
          </cell>
          <cell r="F125" t="str">
            <v xml:space="preserve">      $m</v>
          </cell>
          <cell r="G125" t="str">
            <v xml:space="preserve">      $m</v>
          </cell>
          <cell r="H125" t="str">
            <v xml:space="preserve">      $m</v>
          </cell>
          <cell r="I125" t="str">
            <v xml:space="preserve">      $m</v>
          </cell>
        </row>
        <row r="127">
          <cell r="B127" t="str">
            <v>Gross up Reclassifications</v>
          </cell>
          <cell r="C127" t="str">
            <v>-</v>
          </cell>
          <cell r="D127" t="str">
            <v>-</v>
          </cell>
          <cell r="E127" t="str">
            <v>-</v>
          </cell>
          <cell r="F127" t="str">
            <v>-</v>
          </cell>
          <cell r="G127" t="str">
            <v>-</v>
          </cell>
          <cell r="H127" t="str">
            <v>-</v>
          </cell>
          <cell r="I127" t="str">
            <v>-</v>
          </cell>
        </row>
        <row r="128">
          <cell r="B128" t="str">
            <v xml:space="preserve">   Remediation liabilities and assets recognised in Acctg - not in GFS</v>
          </cell>
          <cell r="C128">
            <v>-845</v>
          </cell>
          <cell r="D128">
            <v>-510</v>
          </cell>
          <cell r="E128">
            <v>-862</v>
          </cell>
          <cell r="F128">
            <v>-603</v>
          </cell>
          <cell r="G128">
            <v>-412</v>
          </cell>
          <cell r="H128">
            <v>-357</v>
          </cell>
          <cell r="I128">
            <v>-315</v>
          </cell>
        </row>
        <row r="129">
          <cell r="B129" t="str">
            <v xml:space="preserve">   GG - Rental Bond monies grossed up in GFS as assets and liabs-not i</v>
          </cell>
          <cell r="C129">
            <v>1309</v>
          </cell>
          <cell r="D129">
            <v>3650</v>
          </cell>
          <cell r="E129">
            <v>1258</v>
          </cell>
          <cell r="F129">
            <v>1355</v>
          </cell>
          <cell r="G129">
            <v>1374</v>
          </cell>
          <cell r="H129">
            <v>1374</v>
          </cell>
          <cell r="I129">
            <v>1374</v>
          </cell>
        </row>
        <row r="130">
          <cell r="B130" t="str">
            <v>Line Disclosure Reclassifications</v>
          </cell>
          <cell r="C130" t="str">
            <v>-</v>
          </cell>
          <cell r="D130" t="str">
            <v>-</v>
          </cell>
          <cell r="E130" t="str">
            <v>-</v>
          </cell>
          <cell r="F130" t="str">
            <v>-</v>
          </cell>
          <cell r="G130" t="str">
            <v>-</v>
          </cell>
          <cell r="H130" t="str">
            <v>-</v>
          </cell>
          <cell r="I130" t="str">
            <v>-</v>
          </cell>
        </row>
        <row r="131">
          <cell r="B131" t="str">
            <v xml:space="preserve">   Prepayment Assets- Other NFA in Acctg --&gt; Receivable in GFS</v>
          </cell>
          <cell r="C131">
            <v>627</v>
          </cell>
          <cell r="D131">
            <v>755</v>
          </cell>
          <cell r="E131">
            <v>732</v>
          </cell>
          <cell r="F131">
            <v>1111</v>
          </cell>
          <cell r="G131">
            <v>1543</v>
          </cell>
          <cell r="H131">
            <v>2914</v>
          </cell>
          <cell r="I131">
            <v>4561</v>
          </cell>
        </row>
        <row r="132">
          <cell r="B132" t="str">
            <v xml:space="preserve">   Prepayment Liabilities - Other Liabs in Acctg --&gt; Payable in GFS</v>
          </cell>
          <cell r="C132">
            <v>-2110</v>
          </cell>
          <cell r="D132">
            <v>-2434</v>
          </cell>
          <cell r="E132">
            <v>-2209</v>
          </cell>
          <cell r="F132">
            <v>-2719</v>
          </cell>
          <cell r="G132">
            <v>-2729</v>
          </cell>
          <cell r="H132">
            <v>-2660</v>
          </cell>
          <cell r="I132">
            <v>-2667</v>
          </cell>
        </row>
        <row r="133">
          <cell r="B133" t="str">
            <v xml:space="preserve">   Salaries accrued/payable in Acctg --&gt; Employee Provisions in GFS</v>
          </cell>
          <cell r="C133">
            <v>-594</v>
          </cell>
          <cell r="D133">
            <v>-708</v>
          </cell>
          <cell r="E133">
            <v>-649</v>
          </cell>
          <cell r="F133">
            <v>-541</v>
          </cell>
          <cell r="G133">
            <v>-568</v>
          </cell>
          <cell r="H133">
            <v>-637</v>
          </cell>
          <cell r="I133">
            <v>-663</v>
          </cell>
        </row>
        <row r="134">
          <cell r="B134" t="str">
            <v xml:space="preserve">   GG - Equity Investment in MDBC &amp; LCL etc. --&gt; Advance in GFS report</v>
          </cell>
          <cell r="C134">
            <v>2</v>
          </cell>
          <cell r="D134">
            <v>2</v>
          </cell>
          <cell r="E134">
            <v>5800</v>
          </cell>
          <cell r="F134">
            <v>5800</v>
          </cell>
          <cell r="G134">
            <v>5800</v>
          </cell>
          <cell r="H134">
            <v>5800</v>
          </cell>
          <cell r="I134">
            <v>5800</v>
          </cell>
        </row>
        <row r="136">
          <cell r="B136" t="str">
            <v>CLOSING CASH COMPRISES</v>
          </cell>
          <cell r="C136" t="str">
            <v>-</v>
          </cell>
          <cell r="D136" t="str">
            <v>-</v>
          </cell>
          <cell r="E136" t="str">
            <v>-</v>
          </cell>
          <cell r="F136" t="str">
            <v>-</v>
          </cell>
          <cell r="G136" t="str">
            <v>-</v>
          </cell>
          <cell r="H136" t="str">
            <v>-</v>
          </cell>
          <cell r="I136" t="str">
            <v>-</v>
          </cell>
        </row>
        <row r="137">
          <cell r="B137" t="str">
            <v>Cash and cash equivalent assets BRCs 061000-061999</v>
          </cell>
          <cell r="C137">
            <v>10874</v>
          </cell>
          <cell r="D137">
            <v>5572</v>
          </cell>
          <cell r="E137">
            <v>15323</v>
          </cell>
          <cell r="F137">
            <v>7227</v>
          </cell>
          <cell r="G137">
            <v>7263</v>
          </cell>
          <cell r="H137">
            <v>7196</v>
          </cell>
          <cell r="I137">
            <v>6327</v>
          </cell>
        </row>
        <row r="138">
          <cell r="B138" t="str">
            <v>Cash and cash equivalent TC S.Term Brwg(Odraft) BRC 084120</v>
          </cell>
          <cell r="C138" t="str">
            <v>-</v>
          </cell>
          <cell r="D138" t="str">
            <v>-</v>
          </cell>
          <cell r="E138" t="str">
            <v>-</v>
          </cell>
          <cell r="F138" t="str">
            <v>-</v>
          </cell>
          <cell r="G138" t="str">
            <v>-</v>
          </cell>
          <cell r="H138" t="str">
            <v>-</v>
          </cell>
          <cell r="I138" t="str">
            <v>-</v>
          </cell>
        </row>
        <row r="139">
          <cell r="B139" t="str">
            <v>Cash and cash equivalent liabilities - ie Overdrafts BRC 084700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>
            <v>-4</v>
          </cell>
          <cell r="I139">
            <v>-8</v>
          </cell>
        </row>
        <row r="140">
          <cell r="B140" t="str">
            <v>Total cash and cash equivalents - closing balances</v>
          </cell>
          <cell r="C140">
            <v>10874</v>
          </cell>
          <cell r="D140">
            <v>5572</v>
          </cell>
          <cell r="E140">
            <v>15323</v>
          </cell>
          <cell r="F140">
            <v>7227</v>
          </cell>
          <cell r="G140">
            <v>7263</v>
          </cell>
          <cell r="H140">
            <v>7192</v>
          </cell>
          <cell r="I140">
            <v>6319</v>
          </cell>
        </row>
        <row r="142">
          <cell r="B142" t="str">
            <v>OTHER INFORMATION</v>
          </cell>
          <cell r="C142" t="str">
            <v>-</v>
          </cell>
          <cell r="D142" t="str">
            <v>-</v>
          </cell>
          <cell r="E142" t="str">
            <v>-</v>
          </cell>
          <cell r="F142" t="str">
            <v>-</v>
          </cell>
          <cell r="G142" t="str">
            <v>-</v>
          </cell>
          <cell r="H142" t="str">
            <v>-</v>
          </cell>
          <cell r="I142" t="str">
            <v>-</v>
          </cell>
        </row>
        <row r="144">
          <cell r="B144" t="str">
            <v>Insurance - Outstanding Claims Liabilities</v>
          </cell>
          <cell r="C144" t="str">
            <v>-</v>
          </cell>
          <cell r="D144" t="str">
            <v>-</v>
          </cell>
          <cell r="E144" t="str">
            <v>-</v>
          </cell>
          <cell r="F144" t="str">
            <v>-</v>
          </cell>
          <cell r="G144" t="str">
            <v>-</v>
          </cell>
          <cell r="H144" t="str">
            <v>-</v>
          </cell>
          <cell r="I144" t="str">
            <v>-</v>
          </cell>
        </row>
        <row r="145">
          <cell r="B145" t="str">
            <v>SiCORP - TMF TAC IBNR Backcast exc TMF WComp - (for analysis row 982)</v>
          </cell>
          <cell r="C145">
            <v>3039</v>
          </cell>
          <cell r="D145">
            <v>3407</v>
          </cell>
          <cell r="E145">
            <v>3263</v>
          </cell>
          <cell r="F145">
            <v>3454</v>
          </cell>
          <cell r="G145">
            <v>3597</v>
          </cell>
          <cell r="H145">
            <v>3783</v>
          </cell>
          <cell r="I145">
            <v>3991</v>
          </cell>
        </row>
        <row r="146">
          <cell r="B146" t="str">
            <v>Workers Comp (Dust Diseases) Board inc IBNR Backcast - (row 983)</v>
          </cell>
          <cell r="C146">
            <v>1739</v>
          </cell>
          <cell r="D146">
            <v>1702</v>
          </cell>
          <cell r="E146">
            <v>1600</v>
          </cell>
          <cell r="F146">
            <v>1526</v>
          </cell>
          <cell r="G146">
            <v>1459</v>
          </cell>
          <cell r="H146">
            <v>1396</v>
          </cell>
          <cell r="I146">
            <v>1336</v>
          </cell>
        </row>
        <row r="147">
          <cell r="B147" t="str">
            <v>Workcover Authority- (row 984 for analysis)</v>
          </cell>
          <cell r="C147">
            <v>140</v>
          </cell>
          <cell r="D147">
            <v>136</v>
          </cell>
          <cell r="E147">
            <v>135</v>
          </cell>
          <cell r="F147">
            <v>128</v>
          </cell>
          <cell r="G147">
            <v>121</v>
          </cell>
          <cell r="H147">
            <v>115</v>
          </cell>
          <cell r="I147">
            <v>110</v>
          </cell>
        </row>
        <row r="148">
          <cell r="B148" t="str">
            <v>HIH loss Compensation - (row 985 for analysis)</v>
          </cell>
          <cell r="C148">
            <v>40</v>
          </cell>
          <cell r="D148">
            <v>12</v>
          </cell>
          <cell r="E148">
            <v>25</v>
          </cell>
          <cell r="F148">
            <v>12</v>
          </cell>
          <cell r="G148">
            <v>4</v>
          </cell>
          <cell r="H148">
            <v>1</v>
          </cell>
          <cell r="I148">
            <v>1</v>
          </cell>
        </row>
        <row r="149">
          <cell r="B149" t="str">
            <v>Lifetime Care and Support Authority - (row 986 for analysis)</v>
          </cell>
          <cell r="C149">
            <v>2939</v>
          </cell>
          <cell r="D149">
            <v>3552</v>
          </cell>
          <cell r="E149">
            <v>3381</v>
          </cell>
          <cell r="F149">
            <v>3851</v>
          </cell>
          <cell r="G149">
            <v>4346</v>
          </cell>
          <cell r="H149">
            <v>4869</v>
          </cell>
          <cell r="I149">
            <v>5421</v>
          </cell>
        </row>
        <row r="150">
          <cell r="B150" t="str">
            <v>Other Insurance - Outstanding Claims Liability -(row 987 for analysis)</v>
          </cell>
          <cell r="C150">
            <v>289</v>
          </cell>
          <cell r="D150">
            <v>332</v>
          </cell>
          <cell r="E150">
            <v>332</v>
          </cell>
          <cell r="F150">
            <v>343</v>
          </cell>
          <cell r="G150">
            <v>363</v>
          </cell>
          <cell r="H150">
            <v>397</v>
          </cell>
          <cell r="I150">
            <v>434</v>
          </cell>
        </row>
        <row r="151">
          <cell r="B151" t="str">
            <v>Total Insurance - Outstanding Claims</v>
          </cell>
          <cell r="C151">
            <v>8187</v>
          </cell>
          <cell r="D151">
            <v>9142</v>
          </cell>
          <cell r="E151">
            <v>8735</v>
          </cell>
          <cell r="F151">
            <v>9314</v>
          </cell>
          <cell r="G151">
            <v>9889</v>
          </cell>
          <cell r="H151">
            <v>10561</v>
          </cell>
          <cell r="I151">
            <v>11292</v>
          </cell>
        </row>
        <row r="152">
          <cell r="B152" t="str">
            <v>Provisions - misc for drill down</v>
          </cell>
          <cell r="C152" t="str">
            <v>-</v>
          </cell>
          <cell r="D152" t="str">
            <v>-</v>
          </cell>
          <cell r="E152" t="str">
            <v>-</v>
          </cell>
          <cell r="F152" t="str">
            <v>-</v>
          </cell>
          <cell r="G152" t="str">
            <v>-</v>
          </cell>
          <cell r="H152" t="str">
            <v>-</v>
          </cell>
          <cell r="I152" t="str">
            <v>-</v>
          </cell>
        </row>
        <row r="153">
          <cell r="B153" t="str">
            <v>Recreation Leave Liabilities - (row 990 for analysis)</v>
          </cell>
          <cell r="C153">
            <v>3436</v>
          </cell>
          <cell r="D153">
            <v>3334</v>
          </cell>
          <cell r="E153">
            <v>3419</v>
          </cell>
          <cell r="F153">
            <v>3439</v>
          </cell>
          <cell r="G153">
            <v>3441</v>
          </cell>
          <cell r="H153">
            <v>3482</v>
          </cell>
          <cell r="I153">
            <v>3514</v>
          </cell>
        </row>
        <row r="154">
          <cell r="B154" t="str">
            <v>Long Service Leave Liabilities inc oncosts - (row 991 for analysis)</v>
          </cell>
          <cell r="C154">
            <v>10201</v>
          </cell>
          <cell r="D154">
            <v>9813</v>
          </cell>
          <cell r="E154">
            <v>9530</v>
          </cell>
          <cell r="F154">
            <v>9597</v>
          </cell>
          <cell r="G154">
            <v>9679</v>
          </cell>
          <cell r="H154">
            <v>9699</v>
          </cell>
          <cell r="I154">
            <v>9885</v>
          </cell>
        </row>
        <row r="155">
          <cell r="B155" t="str">
            <v>Self Funded Workers Comp (incl TMF refer SiCORP@ 982 above) -(row 992)</v>
          </cell>
          <cell r="C155">
            <v>3920</v>
          </cell>
          <cell r="D155">
            <v>4018</v>
          </cell>
          <cell r="E155">
            <v>3998</v>
          </cell>
          <cell r="F155">
            <v>4101</v>
          </cell>
          <cell r="G155">
            <v>4225</v>
          </cell>
          <cell r="H155">
            <v>4367</v>
          </cell>
          <cell r="I155">
            <v>4516</v>
          </cell>
        </row>
        <row r="156">
          <cell r="B156" t="str">
            <v>Police/Fire/Ambulance Death &amp; Disability Scheme-(row 993 for analysis)</v>
          </cell>
          <cell r="C156">
            <v>232</v>
          </cell>
          <cell r="D156">
            <v>236</v>
          </cell>
          <cell r="E156">
            <v>236</v>
          </cell>
          <cell r="F156">
            <v>221</v>
          </cell>
          <cell r="G156">
            <v>214</v>
          </cell>
          <cell r="H156">
            <v>212</v>
          </cell>
          <cell r="I156">
            <v>212</v>
          </cell>
        </row>
        <row r="158">
          <cell r="B158" t="str">
            <v>TEMP GG Fix to "Equity - Reserves" for R7509 a/cs to be recoded Ag.501</v>
          </cell>
          <cell r="C158" t="str">
            <v>-</v>
          </cell>
          <cell r="D158" t="str">
            <v>-</v>
          </cell>
          <cell r="E158" t="str">
            <v>-</v>
          </cell>
          <cell r="F158">
            <v>-5</v>
          </cell>
          <cell r="G158">
            <v>-5</v>
          </cell>
          <cell r="H158">
            <v>-1297</v>
          </cell>
          <cell r="I158">
            <v>-3975</v>
          </cell>
        </row>
        <row r="159">
          <cell r="B159" t="str">
            <v>CHECK AGENCY TRIAL BALANCE IS ZERO (Run uneliminated Line 999)</v>
          </cell>
          <cell r="C159" t="str">
            <v>-</v>
          </cell>
          <cell r="D159" t="str">
            <v>-</v>
          </cell>
          <cell r="E159" t="str">
            <v>-</v>
          </cell>
          <cell r="F159">
            <v>-5</v>
          </cell>
          <cell r="G159">
            <v>-5</v>
          </cell>
          <cell r="H159">
            <v>-1297</v>
          </cell>
          <cell r="I159">
            <v>-3975</v>
          </cell>
        </row>
      </sheetData>
      <sheetData sheetId="12" refreshError="1"/>
      <sheetData sheetId="13" refreshError="1"/>
      <sheetData sheetId="14">
        <row r="7">
          <cell r="B7" t="str">
            <v>STATEMENT OF FINANCIAL POSITION</v>
          </cell>
          <cell r="C7" t="str">
            <v xml:space="preserve">    Actuals</v>
          </cell>
          <cell r="D7" t="str">
            <v xml:space="preserve">    Budget</v>
          </cell>
          <cell r="E7" t="str">
            <v xml:space="preserve">  Projection</v>
          </cell>
          <cell r="F7" t="str">
            <v xml:space="preserve">    Budget</v>
          </cell>
          <cell r="G7" t="str">
            <v xml:space="preserve">    Budget</v>
          </cell>
          <cell r="H7" t="str">
            <v xml:space="preserve">    Budget</v>
          </cell>
          <cell r="I7" t="str">
            <v xml:space="preserve">    Budget</v>
          </cell>
        </row>
        <row r="8">
          <cell r="C8" t="str">
            <v xml:space="preserve">    2015-16</v>
          </cell>
          <cell r="D8" t="str">
            <v xml:space="preserve">    2016-17</v>
          </cell>
          <cell r="E8" t="str">
            <v xml:space="preserve">    2016-17</v>
          </cell>
          <cell r="F8" t="str">
            <v xml:space="preserve">    2017-18</v>
          </cell>
          <cell r="G8" t="str">
            <v xml:space="preserve">    2018-19</v>
          </cell>
          <cell r="H8" t="str">
            <v xml:space="preserve">    2019-20</v>
          </cell>
          <cell r="I8" t="str">
            <v xml:space="preserve">    2020-21</v>
          </cell>
        </row>
        <row r="9">
          <cell r="B9" t="str">
            <v>STATEMENT OF FINANCIAL POSITION</v>
          </cell>
          <cell r="C9" t="str">
            <v xml:space="preserve">      $m</v>
          </cell>
          <cell r="D9" t="str">
            <v xml:space="preserve">      $m</v>
          </cell>
          <cell r="E9" t="str">
            <v xml:space="preserve">      $m</v>
          </cell>
          <cell r="F9" t="str">
            <v xml:space="preserve">      $m</v>
          </cell>
          <cell r="G9" t="str">
            <v xml:space="preserve">      $m</v>
          </cell>
          <cell r="H9" t="str">
            <v xml:space="preserve">      $m</v>
          </cell>
          <cell r="I9" t="str">
            <v xml:space="preserve">      $m</v>
          </cell>
        </row>
        <row r="11">
          <cell r="B11" t="str">
            <v>AASB 1049 GFS-GAAP Harmonised Balance Sheet for Total Non Fin P Sector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</row>
        <row r="13">
          <cell r="B13" t="str">
            <v>ASSETS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</row>
        <row r="14">
          <cell r="B14" t="str">
            <v>Financial Assets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</row>
        <row r="15">
          <cell r="B15" t="str">
            <v>Cash and Cash Equivalent Assets (*)</v>
          </cell>
          <cell r="C15">
            <v>7859</v>
          </cell>
          <cell r="D15">
            <v>3714</v>
          </cell>
          <cell r="E15">
            <v>12355</v>
          </cell>
          <cell r="F15">
            <v>5153</v>
          </cell>
          <cell r="G15">
            <v>5241</v>
          </cell>
          <cell r="H15">
            <v>5140</v>
          </cell>
          <cell r="I15">
            <v>4056</v>
          </cell>
        </row>
        <row r="16">
          <cell r="B16" t="str">
            <v>Receivables</v>
          </cell>
          <cell r="C16">
            <v>5630</v>
          </cell>
          <cell r="D16">
            <v>5408</v>
          </cell>
          <cell r="E16">
            <v>5109</v>
          </cell>
          <cell r="F16">
            <v>4835</v>
          </cell>
          <cell r="G16">
            <v>4691</v>
          </cell>
          <cell r="H16">
            <v>4595</v>
          </cell>
          <cell r="I16">
            <v>4626</v>
          </cell>
        </row>
        <row r="17">
          <cell r="B17" t="str">
            <v>Financial Assets at Fair Value (*)</v>
          </cell>
          <cell r="C17">
            <v>10562</v>
          </cell>
          <cell r="D17">
            <v>18715</v>
          </cell>
          <cell r="E17">
            <v>25683</v>
          </cell>
          <cell r="F17">
            <v>27247</v>
          </cell>
          <cell r="G17">
            <v>23156</v>
          </cell>
          <cell r="H17">
            <v>22003</v>
          </cell>
          <cell r="I17">
            <v>22365</v>
          </cell>
        </row>
        <row r="18">
          <cell r="B18" t="str">
            <v>Other Financial Assets (*)</v>
          </cell>
          <cell r="C18">
            <v>16669</v>
          </cell>
          <cell r="D18">
            <v>5344</v>
          </cell>
          <cell r="E18">
            <v>6054</v>
          </cell>
          <cell r="F18">
            <v>3501</v>
          </cell>
          <cell r="G18">
            <v>2100</v>
          </cell>
          <cell r="H18">
            <v>2170</v>
          </cell>
          <cell r="I18">
            <v>1844</v>
          </cell>
        </row>
        <row r="19">
          <cell r="B19" t="str">
            <v>Advances paid (*)</v>
          </cell>
          <cell r="C19">
            <v>659</v>
          </cell>
          <cell r="D19">
            <v>847</v>
          </cell>
          <cell r="E19">
            <v>612</v>
          </cell>
          <cell r="F19">
            <v>720</v>
          </cell>
          <cell r="G19">
            <v>818</v>
          </cell>
          <cell r="H19">
            <v>966</v>
          </cell>
          <cell r="I19">
            <v>1087</v>
          </cell>
        </row>
        <row r="20">
          <cell r="B20" t="str">
            <v>Deferred Tax Equivalents</v>
          </cell>
          <cell r="C20">
            <v>1</v>
          </cell>
          <cell r="D20">
            <v>1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</row>
        <row r="21">
          <cell r="B21" t="str">
            <v>Equity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</row>
        <row r="22">
          <cell r="B22" t="str">
            <v xml:space="preserve">   Investments in Other Public Sector Entities</v>
          </cell>
          <cell r="C22">
            <v>-2540</v>
          </cell>
          <cell r="D22">
            <v>-252</v>
          </cell>
          <cell r="E22">
            <v>1459</v>
          </cell>
          <cell r="F22">
            <v>2708</v>
          </cell>
          <cell r="G22">
            <v>3866</v>
          </cell>
          <cell r="H22">
            <v>5167</v>
          </cell>
          <cell r="I22">
            <v>5870</v>
          </cell>
        </row>
        <row r="23">
          <cell r="B23" t="str">
            <v xml:space="preserve">   Investments in Associates</v>
          </cell>
          <cell r="C23">
            <v>3783</v>
          </cell>
          <cell r="D23">
            <v>3927</v>
          </cell>
          <cell r="E23">
            <v>9592</v>
          </cell>
          <cell r="F23">
            <v>9590</v>
          </cell>
          <cell r="G23">
            <v>9606</v>
          </cell>
          <cell r="H23">
            <v>9613</v>
          </cell>
          <cell r="I23">
            <v>9638</v>
          </cell>
        </row>
        <row r="24">
          <cell r="B24" t="str">
            <v xml:space="preserve">   Other</v>
          </cell>
          <cell r="C24">
            <v>605</v>
          </cell>
          <cell r="D24">
            <v>714</v>
          </cell>
          <cell r="E24">
            <v>644</v>
          </cell>
          <cell r="F24">
            <v>674</v>
          </cell>
          <cell r="G24">
            <v>710</v>
          </cell>
          <cell r="H24">
            <v>749</v>
          </cell>
          <cell r="I24">
            <v>791</v>
          </cell>
        </row>
        <row r="25">
          <cell r="B25" t="str">
            <v>Total Financial Assets</v>
          </cell>
          <cell r="C25">
            <v>43228</v>
          </cell>
          <cell r="D25">
            <v>38418</v>
          </cell>
          <cell r="E25">
            <v>61508</v>
          </cell>
          <cell r="F25">
            <v>54428</v>
          </cell>
          <cell r="G25">
            <v>50189</v>
          </cell>
          <cell r="H25">
            <v>50403</v>
          </cell>
          <cell r="I25">
            <v>50277</v>
          </cell>
        </row>
        <row r="27">
          <cell r="B27" t="str">
            <v>Non-Financial Assets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</row>
        <row r="28">
          <cell r="B28" t="str">
            <v>Inventories</v>
          </cell>
          <cell r="C28">
            <v>962</v>
          </cell>
          <cell r="D28">
            <v>791</v>
          </cell>
          <cell r="E28">
            <v>789</v>
          </cell>
          <cell r="F28">
            <v>595</v>
          </cell>
          <cell r="G28">
            <v>594</v>
          </cell>
          <cell r="H28">
            <v>582</v>
          </cell>
          <cell r="I28">
            <v>717</v>
          </cell>
        </row>
        <row r="29">
          <cell r="B29" t="str">
            <v>Forestry Stock and Other Biological Assets</v>
          </cell>
          <cell r="C29">
            <v>956</v>
          </cell>
          <cell r="D29">
            <v>910</v>
          </cell>
          <cell r="E29">
            <v>1003</v>
          </cell>
          <cell r="F29">
            <v>1003</v>
          </cell>
          <cell r="G29">
            <v>1003</v>
          </cell>
          <cell r="H29">
            <v>1003</v>
          </cell>
          <cell r="I29">
            <v>1028</v>
          </cell>
        </row>
        <row r="30">
          <cell r="B30" t="str">
            <v>Assets Classified as Held for Sale</v>
          </cell>
          <cell r="C30">
            <v>607</v>
          </cell>
          <cell r="D30">
            <v>177</v>
          </cell>
          <cell r="E30">
            <v>395</v>
          </cell>
          <cell r="F30">
            <v>280</v>
          </cell>
          <cell r="G30">
            <v>133</v>
          </cell>
          <cell r="H30">
            <v>109</v>
          </cell>
          <cell r="I30">
            <v>114</v>
          </cell>
        </row>
        <row r="31">
          <cell r="B31" t="str">
            <v>Investment Properties</v>
          </cell>
          <cell r="C31">
            <v>507</v>
          </cell>
          <cell r="D31">
            <v>530</v>
          </cell>
          <cell r="E31">
            <v>566</v>
          </cell>
          <cell r="F31">
            <v>447</v>
          </cell>
          <cell r="G31">
            <v>458</v>
          </cell>
          <cell r="H31">
            <v>470</v>
          </cell>
          <cell r="I31">
            <v>482</v>
          </cell>
        </row>
        <row r="32">
          <cell r="B32" t="str">
            <v>Property, Plant and Equipment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</row>
        <row r="33">
          <cell r="B33" t="str">
            <v xml:space="preserve">      Land and Buildings</v>
          </cell>
          <cell r="C33">
            <v>135505</v>
          </cell>
          <cell r="D33">
            <v>138640</v>
          </cell>
          <cell r="E33">
            <v>142637</v>
          </cell>
          <cell r="F33">
            <v>148729</v>
          </cell>
          <cell r="G33">
            <v>153798</v>
          </cell>
          <cell r="H33">
            <v>157538</v>
          </cell>
          <cell r="I33">
            <v>161258</v>
          </cell>
        </row>
        <row r="34">
          <cell r="B34" t="str">
            <v xml:space="preserve">      Plant and Equipment</v>
          </cell>
          <cell r="C34">
            <v>17249</v>
          </cell>
          <cell r="D34">
            <v>18771</v>
          </cell>
          <cell r="E34">
            <v>18002</v>
          </cell>
          <cell r="F34">
            <v>18851</v>
          </cell>
          <cell r="G34">
            <v>19292</v>
          </cell>
          <cell r="H34">
            <v>19607</v>
          </cell>
          <cell r="I34">
            <v>20300</v>
          </cell>
        </row>
        <row r="35">
          <cell r="B35" t="str">
            <v xml:space="preserve">      Infrastructure Systems</v>
          </cell>
          <cell r="C35">
            <v>151454</v>
          </cell>
          <cell r="D35">
            <v>165883</v>
          </cell>
          <cell r="E35">
            <v>145740</v>
          </cell>
          <cell r="F35">
            <v>157702</v>
          </cell>
          <cell r="G35">
            <v>175297</v>
          </cell>
          <cell r="H35">
            <v>183529</v>
          </cell>
          <cell r="I35">
            <v>189428</v>
          </cell>
        </row>
        <row r="36">
          <cell r="B36" t="str">
            <v>Intangibles</v>
          </cell>
          <cell r="C36">
            <v>4133</v>
          </cell>
          <cell r="D36">
            <v>4515</v>
          </cell>
          <cell r="E36">
            <v>4218</v>
          </cell>
          <cell r="F36">
            <v>4399</v>
          </cell>
          <cell r="G36">
            <v>4215</v>
          </cell>
          <cell r="H36">
            <v>3920</v>
          </cell>
          <cell r="I36">
            <v>3599</v>
          </cell>
        </row>
        <row r="37">
          <cell r="B37" t="str">
            <v>Other Non-Financial Assets</v>
          </cell>
          <cell r="C37">
            <v>3601</v>
          </cell>
          <cell r="D37">
            <v>4695</v>
          </cell>
          <cell r="E37">
            <v>4477</v>
          </cell>
          <cell r="F37">
            <v>5948</v>
          </cell>
          <cell r="G37">
            <v>4958</v>
          </cell>
          <cell r="H37">
            <v>8153</v>
          </cell>
          <cell r="I37">
            <v>11944</v>
          </cell>
        </row>
        <row r="38">
          <cell r="B38" t="str">
            <v>Total Non-financial Assets</v>
          </cell>
          <cell r="C38">
            <v>314975</v>
          </cell>
          <cell r="D38">
            <v>334911</v>
          </cell>
          <cell r="E38">
            <v>317825</v>
          </cell>
          <cell r="F38">
            <v>337955</v>
          </cell>
          <cell r="G38">
            <v>359748</v>
          </cell>
          <cell r="H38">
            <v>374911</v>
          </cell>
          <cell r="I38">
            <v>388870</v>
          </cell>
        </row>
        <row r="40">
          <cell r="B40" t="str">
            <v>TOTAL ASSETS</v>
          </cell>
          <cell r="C40">
            <v>358203</v>
          </cell>
          <cell r="D40">
            <v>373329</v>
          </cell>
          <cell r="E40">
            <v>379333</v>
          </cell>
          <cell r="F40">
            <v>392383</v>
          </cell>
          <cell r="G40">
            <v>409937</v>
          </cell>
          <cell r="H40">
            <v>425315</v>
          </cell>
          <cell r="I40">
            <v>439147</v>
          </cell>
        </row>
        <row r="42">
          <cell r="B42" t="str">
            <v>LIABILITIES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</row>
        <row r="43">
          <cell r="B43" t="str">
            <v>Deposits Held (*)</v>
          </cell>
          <cell r="C43">
            <v>159</v>
          </cell>
          <cell r="D43">
            <v>146</v>
          </cell>
          <cell r="E43">
            <v>130</v>
          </cell>
          <cell r="F43">
            <v>117</v>
          </cell>
          <cell r="G43">
            <v>106</v>
          </cell>
          <cell r="H43">
            <v>112</v>
          </cell>
          <cell r="I43">
            <v>117</v>
          </cell>
        </row>
        <row r="44">
          <cell r="B44" t="str">
            <v>Payables</v>
          </cell>
          <cell r="C44">
            <v>7310</v>
          </cell>
          <cell r="D44">
            <v>6764</v>
          </cell>
          <cell r="E44">
            <v>6696</v>
          </cell>
          <cell r="F44">
            <v>6854</v>
          </cell>
          <cell r="G44">
            <v>6909</v>
          </cell>
          <cell r="H44">
            <v>8021</v>
          </cell>
          <cell r="I44">
            <v>9701</v>
          </cell>
        </row>
        <row r="45">
          <cell r="B45" t="str">
            <v>Liabilities Directly Associated with Assets Held for Sale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</row>
        <row r="46">
          <cell r="B46" t="str">
            <v>Borrowings and Derivatives at Fair Value (*)</v>
          </cell>
          <cell r="C46">
            <v>146</v>
          </cell>
          <cell r="D46">
            <v>573</v>
          </cell>
          <cell r="E46">
            <v>1789</v>
          </cell>
          <cell r="F46">
            <v>2315</v>
          </cell>
          <cell r="G46">
            <v>3099</v>
          </cell>
          <cell r="H46">
            <v>3290</v>
          </cell>
          <cell r="I46">
            <v>3290</v>
          </cell>
        </row>
        <row r="47">
          <cell r="B47" t="str">
            <v>Borrowings at Amortised Cost (*)</v>
          </cell>
          <cell r="C47">
            <v>63989</v>
          </cell>
          <cell r="D47">
            <v>68758</v>
          </cell>
          <cell r="E47">
            <v>53458</v>
          </cell>
          <cell r="F47">
            <v>56841</v>
          </cell>
          <cell r="G47">
            <v>64730</v>
          </cell>
          <cell r="H47">
            <v>71221</v>
          </cell>
          <cell r="I47">
            <v>74471</v>
          </cell>
        </row>
        <row r="48">
          <cell r="B48" t="str">
            <v>Advances Received(*)</v>
          </cell>
          <cell r="C48">
            <v>857</v>
          </cell>
          <cell r="D48">
            <v>873</v>
          </cell>
          <cell r="E48">
            <v>819</v>
          </cell>
          <cell r="F48">
            <v>759</v>
          </cell>
          <cell r="G48">
            <v>736</v>
          </cell>
          <cell r="H48">
            <v>785</v>
          </cell>
          <cell r="I48">
            <v>834</v>
          </cell>
        </row>
        <row r="49">
          <cell r="B49" t="str">
            <v>Employee Provisions</v>
          </cell>
          <cell r="C49">
            <v>18489</v>
          </cell>
          <cell r="D49">
            <v>18003</v>
          </cell>
          <cell r="E49">
            <v>17768</v>
          </cell>
          <cell r="F49">
            <v>17857</v>
          </cell>
          <cell r="G49">
            <v>18062</v>
          </cell>
          <cell r="H49">
            <v>18279</v>
          </cell>
          <cell r="I49">
            <v>18647</v>
          </cell>
        </row>
        <row r="50">
          <cell r="B50" t="str">
            <v>Superannuation Provision</v>
          </cell>
          <cell r="C50">
            <v>71159</v>
          </cell>
          <cell r="D50">
            <v>58091</v>
          </cell>
          <cell r="E50">
            <v>55996</v>
          </cell>
          <cell r="F50">
            <v>51507</v>
          </cell>
          <cell r="G50">
            <v>47109</v>
          </cell>
          <cell r="H50">
            <v>42971</v>
          </cell>
          <cell r="I50">
            <v>41199</v>
          </cell>
        </row>
        <row r="51">
          <cell r="B51" t="str">
            <v>Deferred Tax Equivalent Provision</v>
          </cell>
          <cell r="C51">
            <v>7</v>
          </cell>
          <cell r="D51">
            <v>6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</row>
        <row r="52">
          <cell r="B52" t="str">
            <v>Other Provisions</v>
          </cell>
          <cell r="C52">
            <v>9037</v>
          </cell>
          <cell r="D52">
            <v>9034</v>
          </cell>
          <cell r="E52">
            <v>9022</v>
          </cell>
          <cell r="F52">
            <v>8956</v>
          </cell>
          <cell r="G52">
            <v>9019</v>
          </cell>
          <cell r="H52">
            <v>9077</v>
          </cell>
          <cell r="I52">
            <v>9186</v>
          </cell>
        </row>
        <row r="53">
          <cell r="B53" t="str">
            <v>Other Liabilities</v>
          </cell>
          <cell r="C53">
            <v>3349</v>
          </cell>
          <cell r="D53">
            <v>3221</v>
          </cell>
          <cell r="E53">
            <v>5891</v>
          </cell>
          <cell r="F53">
            <v>6348</v>
          </cell>
          <cell r="G53">
            <v>6204</v>
          </cell>
          <cell r="H53">
            <v>6015</v>
          </cell>
          <cell r="I53">
            <v>5940</v>
          </cell>
        </row>
        <row r="54">
          <cell r="B54" t="str">
            <v>TOTAL LIABILITIES</v>
          </cell>
          <cell r="C54">
            <v>174503</v>
          </cell>
          <cell r="D54">
            <v>165468</v>
          </cell>
          <cell r="E54">
            <v>151570</v>
          </cell>
          <cell r="F54">
            <v>151555</v>
          </cell>
          <cell r="G54">
            <v>155973</v>
          </cell>
          <cell r="H54">
            <v>159769</v>
          </cell>
          <cell r="I54">
            <v>163385</v>
          </cell>
        </row>
        <row r="65">
          <cell r="B65" t="str">
            <v>STATEMENT OF FINANCIAL POSITION</v>
          </cell>
          <cell r="C65" t="str">
            <v xml:space="preserve">    Actuals</v>
          </cell>
          <cell r="D65" t="str">
            <v xml:space="preserve">    Budget</v>
          </cell>
          <cell r="E65" t="str">
            <v xml:space="preserve">  Projection</v>
          </cell>
          <cell r="F65" t="str">
            <v xml:space="preserve">    Budget</v>
          </cell>
          <cell r="G65" t="str">
            <v xml:space="preserve">    Budget</v>
          </cell>
          <cell r="H65" t="str">
            <v xml:space="preserve">    Budget</v>
          </cell>
          <cell r="I65" t="str">
            <v xml:space="preserve">    Budget</v>
          </cell>
        </row>
        <row r="66">
          <cell r="C66" t="str">
            <v xml:space="preserve">    2015-16</v>
          </cell>
          <cell r="D66" t="str">
            <v xml:space="preserve">    2016-17</v>
          </cell>
          <cell r="E66" t="str">
            <v xml:space="preserve">    2016-17</v>
          </cell>
          <cell r="F66" t="str">
            <v xml:space="preserve">    2017-18</v>
          </cell>
          <cell r="G66" t="str">
            <v xml:space="preserve">    2018-19</v>
          </cell>
          <cell r="H66" t="str">
            <v xml:space="preserve">    2019-20</v>
          </cell>
          <cell r="I66" t="str">
            <v xml:space="preserve">    2020-21</v>
          </cell>
        </row>
        <row r="67">
          <cell r="B67" t="str">
            <v>STATEMENT OF FINANCIAL POSITION</v>
          </cell>
          <cell r="C67" t="str">
            <v xml:space="preserve">      $m</v>
          </cell>
          <cell r="D67" t="str">
            <v xml:space="preserve">      $m</v>
          </cell>
          <cell r="E67" t="str">
            <v xml:space="preserve">      $m</v>
          </cell>
          <cell r="F67" t="str">
            <v xml:space="preserve">      $m</v>
          </cell>
          <cell r="G67" t="str">
            <v xml:space="preserve">      $m</v>
          </cell>
          <cell r="H67" t="str">
            <v xml:space="preserve">      $m</v>
          </cell>
          <cell r="I67" t="str">
            <v xml:space="preserve">      $m</v>
          </cell>
        </row>
        <row r="69">
          <cell r="B69" t="str">
            <v>NET ASSETS</v>
          </cell>
          <cell r="C69">
            <v>183700</v>
          </cell>
          <cell r="D69">
            <v>207861</v>
          </cell>
          <cell r="E69">
            <v>227763</v>
          </cell>
          <cell r="F69">
            <v>240829</v>
          </cell>
          <cell r="G69">
            <v>253964</v>
          </cell>
          <cell r="H69">
            <v>265546</v>
          </cell>
          <cell r="I69">
            <v>275762</v>
          </cell>
        </row>
        <row r="72">
          <cell r="B72" t="str">
            <v>NET WORTH</v>
          </cell>
          <cell r="C72" t="str">
            <v>-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-</v>
          </cell>
          <cell r="I72" t="str">
            <v>-</v>
          </cell>
        </row>
        <row r="73">
          <cell r="B73" t="str">
            <v>Accumulated Funds</v>
          </cell>
          <cell r="C73">
            <v>54437</v>
          </cell>
          <cell r="D73">
            <v>69376</v>
          </cell>
          <cell r="E73">
            <v>86312</v>
          </cell>
          <cell r="F73">
            <v>92094</v>
          </cell>
          <cell r="G73">
            <v>97185</v>
          </cell>
          <cell r="H73">
            <v>102413</v>
          </cell>
          <cell r="I73">
            <v>106454</v>
          </cell>
        </row>
        <row r="74">
          <cell r="B74" t="str">
            <v>Reserves</v>
          </cell>
          <cell r="C74">
            <v>129263</v>
          </cell>
          <cell r="D74">
            <v>138485</v>
          </cell>
          <cell r="E74">
            <v>141449</v>
          </cell>
          <cell r="F74">
            <v>148739</v>
          </cell>
          <cell r="G74">
            <v>156784</v>
          </cell>
          <cell r="H74">
            <v>164430</v>
          </cell>
          <cell r="I74">
            <v>173283</v>
          </cell>
        </row>
        <row r="75">
          <cell r="B75" t="str">
            <v>TOTAL NET WORTH</v>
          </cell>
          <cell r="C75">
            <v>183700</v>
          </cell>
          <cell r="D75">
            <v>207861</v>
          </cell>
          <cell r="E75">
            <v>227761</v>
          </cell>
          <cell r="F75">
            <v>240833</v>
          </cell>
          <cell r="G75">
            <v>253968</v>
          </cell>
          <cell r="H75">
            <v>266842</v>
          </cell>
          <cell r="I75">
            <v>279737</v>
          </cell>
        </row>
        <row r="76">
          <cell r="B76" t="str">
            <v>Check Totals ie Net Worth = Net Assets (should be zero)</v>
          </cell>
          <cell r="C76" t="str">
            <v>-</v>
          </cell>
          <cell r="D76" t="str">
            <v>-</v>
          </cell>
          <cell r="E76">
            <v>2</v>
          </cell>
          <cell r="F76">
            <v>-5</v>
          </cell>
          <cell r="G76">
            <v>-5</v>
          </cell>
          <cell r="H76">
            <v>-1297</v>
          </cell>
          <cell r="I76">
            <v>-3975</v>
          </cell>
        </row>
        <row r="78">
          <cell r="B78" t="str">
            <v>**********************************************************************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</row>
        <row r="80">
          <cell r="B80" t="str">
            <v>OTHER FISCAL AGGREGATES</v>
          </cell>
          <cell r="C80" t="str">
            <v>-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-</v>
          </cell>
          <cell r="H80" t="str">
            <v>-</v>
          </cell>
          <cell r="I80" t="str">
            <v>-</v>
          </cell>
        </row>
        <row r="81">
          <cell r="B81" t="str">
            <v>(*) Net Debt</v>
          </cell>
          <cell r="C81">
            <v>29403</v>
          </cell>
          <cell r="D81">
            <v>41729</v>
          </cell>
          <cell r="E81">
            <v>11493</v>
          </cell>
          <cell r="F81">
            <v>23411</v>
          </cell>
          <cell r="G81">
            <v>37356</v>
          </cell>
          <cell r="H81">
            <v>45128</v>
          </cell>
          <cell r="I81">
            <v>49359</v>
          </cell>
        </row>
        <row r="82">
          <cell r="B82" t="str">
            <v>Net Financial Liabilities(=Total Liabs-Total Fin.Assets+ EquityinOPSE)</v>
          </cell>
          <cell r="C82">
            <v>128736</v>
          </cell>
          <cell r="D82">
            <v>126798</v>
          </cell>
          <cell r="E82">
            <v>91521</v>
          </cell>
          <cell r="F82">
            <v>99834</v>
          </cell>
          <cell r="G82">
            <v>109651</v>
          </cell>
          <cell r="H82">
            <v>114533</v>
          </cell>
          <cell r="I82">
            <v>118978</v>
          </cell>
        </row>
        <row r="83">
          <cell r="B83" t="str">
            <v>Net Financial Worth (=Total Fin Asset - Total Liab)</v>
          </cell>
          <cell r="C83">
            <v>-131276</v>
          </cell>
          <cell r="D83">
            <v>-127050</v>
          </cell>
          <cell r="E83">
            <v>-90062</v>
          </cell>
          <cell r="F83">
            <v>-97126</v>
          </cell>
          <cell r="G83">
            <v>-105784</v>
          </cell>
          <cell r="H83">
            <v>-109366</v>
          </cell>
          <cell r="I83">
            <v>-113108</v>
          </cell>
        </row>
        <row r="85">
          <cell r="B85" t="str">
            <v>FISCAL AGGREGATES FOR DRILL DOWN ANALYSIS eg BY AGENCY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</row>
        <row r="86">
          <cell r="B86" t="str">
            <v>Gross Debt (For analysis by agency - row 912)</v>
          </cell>
          <cell r="C86">
            <v>65152</v>
          </cell>
          <cell r="D86">
            <v>70350</v>
          </cell>
          <cell r="E86">
            <v>56197</v>
          </cell>
          <cell r="F86">
            <v>60032</v>
          </cell>
          <cell r="G86">
            <v>68671</v>
          </cell>
          <cell r="H86">
            <v>75407</v>
          </cell>
          <cell r="I86">
            <v>78711</v>
          </cell>
        </row>
        <row r="88">
          <cell r="B88" t="str">
            <v>Net Debt (For analysis by agency - row 914)</v>
          </cell>
          <cell r="C88">
            <v>29403</v>
          </cell>
          <cell r="D88">
            <v>41729</v>
          </cell>
          <cell r="E88">
            <v>11493</v>
          </cell>
          <cell r="F88">
            <v>23411</v>
          </cell>
          <cell r="G88">
            <v>37356</v>
          </cell>
          <cell r="H88">
            <v>45128</v>
          </cell>
          <cell r="I88">
            <v>49359</v>
          </cell>
        </row>
        <row r="90">
          <cell r="B90" t="str">
            <v>Net Financial Liabilities - (For analysis by agency -row 916)</v>
          </cell>
          <cell r="C90">
            <v>128736</v>
          </cell>
          <cell r="D90">
            <v>126798</v>
          </cell>
          <cell r="E90">
            <v>91521</v>
          </cell>
          <cell r="F90">
            <v>99834</v>
          </cell>
          <cell r="G90">
            <v>109651</v>
          </cell>
          <cell r="H90">
            <v>114533</v>
          </cell>
          <cell r="I90">
            <v>118978</v>
          </cell>
        </row>
        <row r="91">
          <cell r="B91" t="str">
            <v>Net Financial Worth- (For analysis by agency -row 917)</v>
          </cell>
          <cell r="C91">
            <v>-131276</v>
          </cell>
          <cell r="D91">
            <v>-127050</v>
          </cell>
          <cell r="E91">
            <v>-90062</v>
          </cell>
          <cell r="F91">
            <v>-97126</v>
          </cell>
          <cell r="G91">
            <v>-105784</v>
          </cell>
          <cell r="H91">
            <v>-109366</v>
          </cell>
          <cell r="I91">
            <v>-113108</v>
          </cell>
        </row>
        <row r="93">
          <cell r="B93" t="str">
            <v>Net Worth (BRCs 060000-0899999 for Analysis by agency - row 918)</v>
          </cell>
          <cell r="C93">
            <v>183700</v>
          </cell>
          <cell r="D93">
            <v>207861</v>
          </cell>
          <cell r="E93">
            <v>227763</v>
          </cell>
          <cell r="F93">
            <v>240829</v>
          </cell>
          <cell r="G93">
            <v>253964</v>
          </cell>
          <cell r="H93">
            <v>265546</v>
          </cell>
          <cell r="I93">
            <v>275762</v>
          </cell>
        </row>
        <row r="95">
          <cell r="B95" t="str">
            <v>CONVERGENCE DIFFERENCES - BALANCE SHEET KFAs</v>
          </cell>
          <cell r="C95" t="str">
            <v>-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-</v>
          </cell>
          <cell r="H95" t="str">
            <v>-</v>
          </cell>
          <cell r="I95" t="str">
            <v>-</v>
          </cell>
        </row>
        <row r="96">
          <cell r="B96" t="str">
            <v>Net Worth per AASB1049</v>
          </cell>
          <cell r="C96">
            <v>183700</v>
          </cell>
          <cell r="D96">
            <v>207861</v>
          </cell>
          <cell r="E96">
            <v>227763</v>
          </cell>
          <cell r="F96">
            <v>240829</v>
          </cell>
          <cell r="G96">
            <v>253964</v>
          </cell>
          <cell r="H96">
            <v>265546</v>
          </cell>
          <cell r="I96">
            <v>275762</v>
          </cell>
        </row>
        <row r="97">
          <cell r="B97" t="str">
            <v>CDs - In Accounting but not in GFS Net Worth</v>
          </cell>
          <cell r="C97" t="str">
            <v>-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</row>
        <row r="98">
          <cell r="B98" t="str">
            <v xml:space="preserve">   Allowance for Doubtful Debts</v>
          </cell>
          <cell r="C98">
            <v>454</v>
          </cell>
          <cell r="D98">
            <v>412</v>
          </cell>
          <cell r="E98">
            <v>447</v>
          </cell>
          <cell r="F98">
            <v>447</v>
          </cell>
          <cell r="G98">
            <v>450</v>
          </cell>
          <cell r="H98">
            <v>454</v>
          </cell>
          <cell r="I98">
            <v>461</v>
          </cell>
        </row>
        <row r="99">
          <cell r="B99" t="str">
            <v xml:space="preserve">   Low-interest Loans - difference between the fair value and the face</v>
          </cell>
          <cell r="C99">
            <v>-364</v>
          </cell>
          <cell r="D99">
            <v>-318</v>
          </cell>
          <cell r="E99">
            <v>-327</v>
          </cell>
          <cell r="F99">
            <v>-302</v>
          </cell>
          <cell r="G99">
            <v>-272</v>
          </cell>
          <cell r="H99">
            <v>-243</v>
          </cell>
          <cell r="I99">
            <v>-221</v>
          </cell>
        </row>
        <row r="100">
          <cell r="B100" t="str">
            <v xml:space="preserve">   Lotteries Licence Deferred Income</v>
          </cell>
          <cell r="C100">
            <v>211</v>
          </cell>
          <cell r="D100">
            <v>205</v>
          </cell>
          <cell r="E100">
            <v>2827</v>
          </cell>
          <cell r="F100">
            <v>2746</v>
          </cell>
          <cell r="G100">
            <v>2664</v>
          </cell>
          <cell r="H100">
            <v>2583</v>
          </cell>
          <cell r="I100">
            <v>2502</v>
          </cell>
        </row>
        <row r="101">
          <cell r="B101" t="str">
            <v xml:space="preserve">   Onerous Contracts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</row>
        <row r="102">
          <cell r="B102" t="str">
            <v xml:space="preserve">   GG/PNFC/PFC Deferred Tax Assets and Liabilities - net</v>
          </cell>
          <cell r="C102">
            <v>6</v>
          </cell>
          <cell r="D102">
            <v>5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</row>
        <row r="103">
          <cell r="B103" t="str">
            <v xml:space="preserve">   GG-Difference in  Equity Investment in PNFC/PFC sectors (Acctg vs G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</row>
        <row r="104">
          <cell r="B104" t="str">
            <v>Assets Associated with Provisions for Remediation</v>
          </cell>
          <cell r="C104">
            <v>-844</v>
          </cell>
          <cell r="D104">
            <v>-510</v>
          </cell>
          <cell r="E104">
            <v>-862</v>
          </cell>
          <cell r="F104">
            <v>-603</v>
          </cell>
          <cell r="G104">
            <v>-412</v>
          </cell>
          <cell r="H104">
            <v>-357</v>
          </cell>
          <cell r="I104">
            <v>-315</v>
          </cell>
        </row>
        <row r="105">
          <cell r="B105" t="str">
            <v>Provision Liabilities for Remediation</v>
          </cell>
          <cell r="C105">
            <v>844</v>
          </cell>
          <cell r="D105">
            <v>510</v>
          </cell>
          <cell r="E105">
            <v>862</v>
          </cell>
          <cell r="F105">
            <v>603</v>
          </cell>
          <cell r="G105">
            <v>412</v>
          </cell>
          <cell r="H105">
            <v>357</v>
          </cell>
          <cell r="I105">
            <v>315</v>
          </cell>
        </row>
        <row r="106">
          <cell r="B106" t="str">
            <v xml:space="preserve">   PNFC/PFC Net Worth is all reported as a Liability in GFS - MANUAL A</v>
          </cell>
          <cell r="C106" t="str">
            <v>-</v>
          </cell>
          <cell r="D106" t="str">
            <v>-</v>
          </cell>
          <cell r="E106" t="str">
            <v>-</v>
          </cell>
          <cell r="F106" t="str">
            <v>-</v>
          </cell>
          <cell r="G106" t="str">
            <v>-</v>
          </cell>
          <cell r="H106" t="str">
            <v>-</v>
          </cell>
          <cell r="I106" t="str">
            <v>-</v>
          </cell>
        </row>
        <row r="107">
          <cell r="B107" t="str">
            <v>CDs - In GFS but not in Accounting</v>
          </cell>
          <cell r="C107" t="str">
            <v>-</v>
          </cell>
          <cell r="D107" t="str">
            <v>-</v>
          </cell>
          <cell r="E107" t="str">
            <v>-</v>
          </cell>
          <cell r="F107" t="str">
            <v>-</v>
          </cell>
          <cell r="G107" t="str">
            <v>-</v>
          </cell>
          <cell r="H107" t="str">
            <v>-</v>
          </cell>
          <cell r="I107" t="str">
            <v>-</v>
          </cell>
        </row>
        <row r="108">
          <cell r="B108" t="str">
            <v xml:space="preserve">   2006 C/w Land Devt Road Grant accrued in GFS-cash basis in AASB 104</v>
          </cell>
          <cell r="C108" t="str">
            <v>-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</row>
        <row r="109">
          <cell r="B109" t="str">
            <v>Historical ZADJ backcast a/cs, in GFS-not in AGAAP</v>
          </cell>
          <cell r="C109" t="str">
            <v>-</v>
          </cell>
          <cell r="D109" t="str">
            <v>-</v>
          </cell>
          <cell r="E109" t="str">
            <v>-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</row>
        <row r="110">
          <cell r="B110" t="str">
            <v>Net Worth per GFS (calculated)</v>
          </cell>
          <cell r="C110">
            <v>182319</v>
          </cell>
          <cell r="D110">
            <v>207144</v>
          </cell>
          <cell r="E110">
            <v>228986</v>
          </cell>
          <cell r="F110">
            <v>242512</v>
          </cell>
          <cell r="G110">
            <v>255982</v>
          </cell>
          <cell r="H110">
            <v>267627</v>
          </cell>
          <cell r="I110">
            <v>277875</v>
          </cell>
        </row>
        <row r="111">
          <cell r="B111" t="str">
            <v>GFS Worth (using ETF ranges)</v>
          </cell>
          <cell r="C111">
            <v>184001</v>
          </cell>
          <cell r="D111">
            <v>208160</v>
          </cell>
          <cell r="E111">
            <v>230709</v>
          </cell>
          <cell r="F111">
            <v>243719</v>
          </cell>
          <cell r="G111">
            <v>256807</v>
          </cell>
          <cell r="H111">
            <v>268340</v>
          </cell>
          <cell r="I111">
            <v>278505</v>
          </cell>
        </row>
        <row r="112">
          <cell r="B112" t="str">
            <v>Difference - should be Zero</v>
          </cell>
          <cell r="C112">
            <v>-1682</v>
          </cell>
          <cell r="D112">
            <v>-1016</v>
          </cell>
          <cell r="E112">
            <v>-1723</v>
          </cell>
          <cell r="F112">
            <v>-1207</v>
          </cell>
          <cell r="G112">
            <v>-825</v>
          </cell>
          <cell r="H112">
            <v>-713</v>
          </cell>
          <cell r="I112">
            <v>-630</v>
          </cell>
        </row>
        <row r="113">
          <cell r="B113" t="str">
            <v>Total Accg not in GFS Conv Differences</v>
          </cell>
          <cell r="C113">
            <v>-1381</v>
          </cell>
          <cell r="D113">
            <v>-717</v>
          </cell>
          <cell r="E113">
            <v>1223</v>
          </cell>
          <cell r="F113">
            <v>1684</v>
          </cell>
          <cell r="G113">
            <v>2018</v>
          </cell>
          <cell r="H113">
            <v>2081</v>
          </cell>
          <cell r="I113">
            <v>2113</v>
          </cell>
        </row>
        <row r="123">
          <cell r="B123" t="str">
            <v>STATEMENT OF FINANCIAL POSITION</v>
          </cell>
          <cell r="C123" t="str">
            <v xml:space="preserve">    Actuals</v>
          </cell>
          <cell r="D123" t="str">
            <v xml:space="preserve">    Budget</v>
          </cell>
          <cell r="E123" t="str">
            <v xml:space="preserve">  Projection</v>
          </cell>
          <cell r="F123" t="str">
            <v xml:space="preserve">    Budget</v>
          </cell>
          <cell r="G123" t="str">
            <v xml:space="preserve">    Budget</v>
          </cell>
          <cell r="H123" t="str">
            <v xml:space="preserve">    Budget</v>
          </cell>
          <cell r="I123" t="str">
            <v xml:space="preserve">    Budget</v>
          </cell>
        </row>
        <row r="124">
          <cell r="C124" t="str">
            <v xml:space="preserve">    2015-16</v>
          </cell>
          <cell r="D124" t="str">
            <v xml:space="preserve">    2016-17</v>
          </cell>
          <cell r="E124" t="str">
            <v xml:space="preserve">    2016-17</v>
          </cell>
          <cell r="F124" t="str">
            <v xml:space="preserve">    2017-18</v>
          </cell>
          <cell r="G124" t="str">
            <v xml:space="preserve">    2018-19</v>
          </cell>
          <cell r="H124" t="str">
            <v xml:space="preserve">    2019-20</v>
          </cell>
          <cell r="I124" t="str">
            <v xml:space="preserve">    2020-21</v>
          </cell>
        </row>
        <row r="125">
          <cell r="B125" t="str">
            <v>STATEMENT OF FINANCIAL POSITION</v>
          </cell>
          <cell r="C125" t="str">
            <v xml:space="preserve">      $m</v>
          </cell>
          <cell r="D125" t="str">
            <v xml:space="preserve">      $m</v>
          </cell>
          <cell r="E125" t="str">
            <v xml:space="preserve">      $m</v>
          </cell>
          <cell r="F125" t="str">
            <v xml:space="preserve">      $m</v>
          </cell>
          <cell r="G125" t="str">
            <v xml:space="preserve">      $m</v>
          </cell>
          <cell r="H125" t="str">
            <v xml:space="preserve">      $m</v>
          </cell>
          <cell r="I125" t="str">
            <v xml:space="preserve">      $m</v>
          </cell>
        </row>
        <row r="128">
          <cell r="B128" t="str">
            <v>RECLASSIFICATION DIFFERENCES - BALANCE SHEET Dr=+ &amp; CR=(-)</v>
          </cell>
          <cell r="C128" t="str">
            <v>-</v>
          </cell>
          <cell r="D128" t="str">
            <v>-</v>
          </cell>
          <cell r="E128" t="str">
            <v>-</v>
          </cell>
          <cell r="F128" t="str">
            <v>-</v>
          </cell>
          <cell r="G128" t="str">
            <v>-</v>
          </cell>
          <cell r="H128" t="str">
            <v>-</v>
          </cell>
          <cell r="I128" t="str">
            <v>-</v>
          </cell>
        </row>
        <row r="129">
          <cell r="B129" t="str">
            <v>Gross up Reclassifications</v>
          </cell>
          <cell r="C129" t="str">
            <v>-</v>
          </cell>
          <cell r="D129" t="str">
            <v>-</v>
          </cell>
          <cell r="E129" t="str">
            <v>-</v>
          </cell>
          <cell r="F129" t="str">
            <v>-</v>
          </cell>
          <cell r="G129" t="str">
            <v>-</v>
          </cell>
          <cell r="H129" t="str">
            <v>-</v>
          </cell>
          <cell r="I129" t="str">
            <v>-</v>
          </cell>
        </row>
        <row r="130">
          <cell r="B130" t="str">
            <v xml:space="preserve">   Remediation liabilities and assets recognised in Acctg - not in GFS</v>
          </cell>
          <cell r="C130">
            <v>-844</v>
          </cell>
          <cell r="D130">
            <v>-510</v>
          </cell>
          <cell r="E130">
            <v>-862</v>
          </cell>
          <cell r="F130">
            <v>-603</v>
          </cell>
          <cell r="G130">
            <v>-412</v>
          </cell>
          <cell r="H130">
            <v>-357</v>
          </cell>
          <cell r="I130">
            <v>-315</v>
          </cell>
        </row>
        <row r="131">
          <cell r="B131" t="str">
            <v xml:space="preserve">   GG - Rental Bond monies grossed up in GFS as assets and liabs-not i</v>
          </cell>
          <cell r="C131">
            <v>1309</v>
          </cell>
          <cell r="D131">
            <v>3650</v>
          </cell>
          <cell r="E131">
            <v>1258</v>
          </cell>
          <cell r="F131">
            <v>1355</v>
          </cell>
          <cell r="G131">
            <v>1374</v>
          </cell>
          <cell r="H131">
            <v>1374</v>
          </cell>
          <cell r="I131">
            <v>1374</v>
          </cell>
        </row>
        <row r="132">
          <cell r="B132" t="str">
            <v>Line Disclosure Reclassifications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</row>
        <row r="133">
          <cell r="B133" t="str">
            <v xml:space="preserve">   Prepayment Assets- Other NFA in Acctg --&gt; Receivable in GFS</v>
          </cell>
          <cell r="C133">
            <v>564</v>
          </cell>
          <cell r="D133">
            <v>752</v>
          </cell>
          <cell r="E133">
            <v>674</v>
          </cell>
          <cell r="F133">
            <v>1066</v>
          </cell>
          <cell r="G133">
            <v>1870</v>
          </cell>
          <cell r="H133">
            <v>4471</v>
          </cell>
          <cell r="I133">
            <v>7748</v>
          </cell>
        </row>
        <row r="134">
          <cell r="B134" t="str">
            <v xml:space="preserve">   Prepayment Liabilities - Other Liabs in Acctg --&gt; Payable in GFS</v>
          </cell>
          <cell r="C134">
            <v>-2104</v>
          </cell>
          <cell r="D134">
            <v>-2434</v>
          </cell>
          <cell r="E134">
            <v>-2209</v>
          </cell>
          <cell r="F134">
            <v>-2719</v>
          </cell>
          <cell r="G134">
            <v>-2729</v>
          </cell>
          <cell r="H134">
            <v>-2660</v>
          </cell>
          <cell r="I134">
            <v>-2667</v>
          </cell>
        </row>
        <row r="135">
          <cell r="B135" t="str">
            <v xml:space="preserve">   Salaries accrued/payable in Acctg --&gt; Employee Provisions in GFS</v>
          </cell>
          <cell r="C135">
            <v>-588</v>
          </cell>
          <cell r="D135">
            <v>-708</v>
          </cell>
          <cell r="E135">
            <v>-647</v>
          </cell>
          <cell r="F135">
            <v>-539</v>
          </cell>
          <cell r="G135">
            <v>-565</v>
          </cell>
          <cell r="H135">
            <v>-635</v>
          </cell>
          <cell r="I135">
            <v>-660</v>
          </cell>
        </row>
        <row r="136">
          <cell r="B136" t="str">
            <v xml:space="preserve">   GG - Equity Investment in MDBC &amp; LCL etc.</v>
          </cell>
          <cell r="C136" t="str">
            <v>-</v>
          </cell>
          <cell r="D136" t="str">
            <v>-</v>
          </cell>
          <cell r="E136">
            <v>5798</v>
          </cell>
          <cell r="F136">
            <v>5798</v>
          </cell>
          <cell r="G136">
            <v>5798</v>
          </cell>
          <cell r="H136">
            <v>5798</v>
          </cell>
          <cell r="I136">
            <v>5798</v>
          </cell>
        </row>
        <row r="138">
          <cell r="B138" t="str">
            <v>CLOSING CASH COMPRISES</v>
          </cell>
          <cell r="C138" t="str">
            <v>-</v>
          </cell>
          <cell r="D138" t="str">
            <v>-</v>
          </cell>
          <cell r="E138" t="str">
            <v>-</v>
          </cell>
          <cell r="F138" t="str">
            <v>-</v>
          </cell>
          <cell r="G138" t="str">
            <v>-</v>
          </cell>
          <cell r="H138" t="str">
            <v>-</v>
          </cell>
          <cell r="I138" t="str">
            <v>-</v>
          </cell>
        </row>
        <row r="139">
          <cell r="B139" t="str">
            <v>Cash and cash equivalent assets BRCs 061000-061999</v>
          </cell>
          <cell r="C139">
            <v>7859</v>
          </cell>
          <cell r="D139">
            <v>3714</v>
          </cell>
          <cell r="E139">
            <v>12355</v>
          </cell>
          <cell r="F139">
            <v>5153</v>
          </cell>
          <cell r="G139">
            <v>5241</v>
          </cell>
          <cell r="H139">
            <v>5140</v>
          </cell>
          <cell r="I139">
            <v>4056</v>
          </cell>
        </row>
        <row r="140">
          <cell r="B140" t="str">
            <v>Cash and cash equivalent liabilities - ie Overdrafts BRC 084700</v>
          </cell>
          <cell r="C140" t="str">
            <v>-</v>
          </cell>
          <cell r="D140" t="str">
            <v>-</v>
          </cell>
          <cell r="E140" t="str">
            <v>-</v>
          </cell>
          <cell r="F140" t="str">
            <v>-</v>
          </cell>
          <cell r="G140" t="str">
            <v>-</v>
          </cell>
          <cell r="H140">
            <v>-4</v>
          </cell>
          <cell r="I140">
            <v>-8</v>
          </cell>
        </row>
        <row r="141">
          <cell r="B141" t="str">
            <v>Total cash and cash equivalents - closing balances</v>
          </cell>
          <cell r="C141">
            <v>7859</v>
          </cell>
          <cell r="D141">
            <v>3714</v>
          </cell>
          <cell r="E141">
            <v>12355</v>
          </cell>
          <cell r="F141">
            <v>5153</v>
          </cell>
          <cell r="G141">
            <v>5241</v>
          </cell>
          <cell r="H141">
            <v>5136</v>
          </cell>
          <cell r="I141">
            <v>4049</v>
          </cell>
        </row>
        <row r="143">
          <cell r="B143" t="str">
            <v>OTHER INFORMATION</v>
          </cell>
          <cell r="C143" t="str">
            <v>-</v>
          </cell>
          <cell r="D143" t="str">
            <v>-</v>
          </cell>
          <cell r="E143" t="str">
            <v>-</v>
          </cell>
          <cell r="F143" t="str">
            <v>-</v>
          </cell>
          <cell r="G143" t="str">
            <v>-</v>
          </cell>
          <cell r="H143" t="str">
            <v>-</v>
          </cell>
          <cell r="I143" t="str">
            <v>-</v>
          </cell>
        </row>
        <row r="145">
          <cell r="B145" t="str">
            <v>Insurance - Outstanding Claims Liabilities</v>
          </cell>
          <cell r="C145" t="str">
            <v>-</v>
          </cell>
          <cell r="D145" t="str">
            <v>-</v>
          </cell>
          <cell r="E145" t="str">
            <v>-</v>
          </cell>
          <cell r="F145" t="str">
            <v>-</v>
          </cell>
          <cell r="G145" t="str">
            <v>-</v>
          </cell>
          <cell r="H145" t="str">
            <v>-</v>
          </cell>
          <cell r="I145" t="str">
            <v>-</v>
          </cell>
        </row>
        <row r="146">
          <cell r="B146" t="str">
            <v>SiCORP - TMF TAC IBNR Backcast exc TMF WComp - (for analysis row 982)</v>
          </cell>
          <cell r="C146">
            <v>3039</v>
          </cell>
          <cell r="D146">
            <v>3407</v>
          </cell>
          <cell r="E146">
            <v>3263</v>
          </cell>
          <cell r="F146">
            <v>3454</v>
          </cell>
          <cell r="G146">
            <v>3597</v>
          </cell>
          <cell r="H146">
            <v>3783</v>
          </cell>
          <cell r="I146">
            <v>3991</v>
          </cell>
        </row>
        <row r="147">
          <cell r="B147" t="str">
            <v>Workers Comp (Dust Diseases) Board inc IBNR Backcast - (row 983)</v>
          </cell>
          <cell r="C147">
            <v>1739</v>
          </cell>
          <cell r="D147">
            <v>1702</v>
          </cell>
          <cell r="E147">
            <v>1600</v>
          </cell>
          <cell r="F147">
            <v>1526</v>
          </cell>
          <cell r="G147">
            <v>1459</v>
          </cell>
          <cell r="H147">
            <v>1396</v>
          </cell>
          <cell r="I147">
            <v>1336</v>
          </cell>
        </row>
        <row r="148">
          <cell r="B148" t="str">
            <v>Workcover Authority- (row 984 for analysis)</v>
          </cell>
          <cell r="C148">
            <v>140</v>
          </cell>
          <cell r="D148">
            <v>136</v>
          </cell>
          <cell r="E148">
            <v>135</v>
          </cell>
          <cell r="F148">
            <v>128</v>
          </cell>
          <cell r="G148">
            <v>121</v>
          </cell>
          <cell r="H148">
            <v>115</v>
          </cell>
          <cell r="I148">
            <v>110</v>
          </cell>
        </row>
        <row r="149">
          <cell r="B149" t="str">
            <v>HIH loss Compensation - (row 985 for analysis)</v>
          </cell>
          <cell r="C149">
            <v>40</v>
          </cell>
          <cell r="D149">
            <v>12</v>
          </cell>
          <cell r="E149">
            <v>25</v>
          </cell>
          <cell r="F149">
            <v>12</v>
          </cell>
          <cell r="G149">
            <v>4</v>
          </cell>
          <cell r="H149">
            <v>1</v>
          </cell>
          <cell r="I149">
            <v>1</v>
          </cell>
        </row>
        <row r="150">
          <cell r="B150" t="str">
            <v>Lifetime Care and Support Authority - (row 986 for analysis)</v>
          </cell>
          <cell r="C150" t="str">
            <v>-</v>
          </cell>
          <cell r="D150" t="str">
            <v>-</v>
          </cell>
          <cell r="E150" t="str">
            <v>-</v>
          </cell>
          <cell r="F150" t="str">
            <v>-</v>
          </cell>
          <cell r="G150" t="str">
            <v>-</v>
          </cell>
          <cell r="H150" t="str">
            <v>-</v>
          </cell>
          <cell r="I150" t="str">
            <v>-</v>
          </cell>
        </row>
        <row r="151">
          <cell r="B151" t="str">
            <v>Other Insurance - Outstanding Claims Liability -(row 987 for analysis)</v>
          </cell>
          <cell r="C151">
            <v>289</v>
          </cell>
          <cell r="D151">
            <v>332</v>
          </cell>
          <cell r="E151">
            <v>332</v>
          </cell>
          <cell r="F151">
            <v>343</v>
          </cell>
          <cell r="G151">
            <v>363</v>
          </cell>
          <cell r="H151">
            <v>397</v>
          </cell>
          <cell r="I151">
            <v>434</v>
          </cell>
        </row>
        <row r="152">
          <cell r="B152" t="str">
            <v>Total Insurance - Outstanding Claims</v>
          </cell>
          <cell r="C152">
            <v>5248</v>
          </cell>
          <cell r="D152">
            <v>5590</v>
          </cell>
          <cell r="E152">
            <v>5354</v>
          </cell>
          <cell r="F152">
            <v>5463</v>
          </cell>
          <cell r="G152">
            <v>5543</v>
          </cell>
          <cell r="H152">
            <v>5692</v>
          </cell>
          <cell r="I152">
            <v>5872</v>
          </cell>
        </row>
        <row r="153">
          <cell r="B153" t="str">
            <v>Provisions - misc for drill down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</row>
        <row r="154">
          <cell r="B154" t="str">
            <v>Recreation Leave Liabilities - (row 990 for analysis)</v>
          </cell>
          <cell r="C154">
            <v>3425</v>
          </cell>
          <cell r="D154">
            <v>3329</v>
          </cell>
          <cell r="E154">
            <v>3414</v>
          </cell>
          <cell r="F154">
            <v>3433</v>
          </cell>
          <cell r="G154">
            <v>3436</v>
          </cell>
          <cell r="H154">
            <v>3476</v>
          </cell>
          <cell r="I154">
            <v>3509</v>
          </cell>
        </row>
        <row r="155">
          <cell r="B155" t="str">
            <v>Long Service Leave Liabilities inc oncosts - (row 991 for analysis)</v>
          </cell>
          <cell r="C155">
            <v>10177</v>
          </cell>
          <cell r="D155">
            <v>9794</v>
          </cell>
          <cell r="E155">
            <v>9516</v>
          </cell>
          <cell r="F155">
            <v>9582</v>
          </cell>
          <cell r="G155">
            <v>9664</v>
          </cell>
          <cell r="H155">
            <v>9685</v>
          </cell>
          <cell r="I155">
            <v>9871</v>
          </cell>
        </row>
        <row r="156">
          <cell r="B156" t="str">
            <v>Self Funded Workers Comp (incl TMF refer SiCORP@ 982 above) -(row 992)</v>
          </cell>
          <cell r="C156">
            <v>3920</v>
          </cell>
          <cell r="D156">
            <v>4018</v>
          </cell>
          <cell r="E156">
            <v>3998</v>
          </cell>
          <cell r="F156">
            <v>4101</v>
          </cell>
          <cell r="G156">
            <v>4225</v>
          </cell>
          <cell r="H156">
            <v>4367</v>
          </cell>
          <cell r="I156">
            <v>4516</v>
          </cell>
        </row>
        <row r="157">
          <cell r="B157" t="str">
            <v>Police/Fire/Ambulance Death &amp; Disability Scheme-(row 993 for analysis)</v>
          </cell>
          <cell r="C157">
            <v>232</v>
          </cell>
          <cell r="D157">
            <v>236</v>
          </cell>
          <cell r="E157">
            <v>236</v>
          </cell>
          <cell r="F157">
            <v>221</v>
          </cell>
          <cell r="G157">
            <v>214</v>
          </cell>
          <cell r="H157">
            <v>212</v>
          </cell>
          <cell r="I157">
            <v>212</v>
          </cell>
        </row>
        <row r="159">
          <cell r="B159" t="str">
            <v>FOR RATING AGENCIES - NFPS Net Debt plus Supern Liab(row 997)</v>
          </cell>
          <cell r="C159">
            <v>100562</v>
          </cell>
          <cell r="D159">
            <v>99820</v>
          </cell>
          <cell r="E159">
            <v>67488</v>
          </cell>
          <cell r="F159">
            <v>74918</v>
          </cell>
          <cell r="G159">
            <v>84464</v>
          </cell>
          <cell r="H159">
            <v>88099</v>
          </cell>
          <cell r="I159">
            <v>90558</v>
          </cell>
        </row>
        <row r="161">
          <cell r="B161" t="str">
            <v>FOR RATING AGENCIES -NFPS Total Revenues from Continuing Ops (row 997)</v>
          </cell>
          <cell r="C161">
            <v>81093</v>
          </cell>
          <cell r="D161">
            <v>83185</v>
          </cell>
          <cell r="E161">
            <v>79292</v>
          </cell>
          <cell r="F161">
            <v>79921</v>
          </cell>
          <cell r="G161">
            <v>81080</v>
          </cell>
          <cell r="H161">
            <v>83739</v>
          </cell>
          <cell r="I161">
            <v>87098</v>
          </cell>
        </row>
        <row r="163">
          <cell r="B163" t="str">
            <v>TEMP GG Fix to "Equity - Reserves" for R7509 a/cs to be recoded Ag.501</v>
          </cell>
          <cell r="C163" t="str">
            <v>-</v>
          </cell>
          <cell r="D163" t="str">
            <v>-</v>
          </cell>
          <cell r="E163">
            <v>2</v>
          </cell>
          <cell r="F163">
            <v>-5</v>
          </cell>
          <cell r="G163">
            <v>-5</v>
          </cell>
          <cell r="H163">
            <v>-1297</v>
          </cell>
          <cell r="I163">
            <v>-3975</v>
          </cell>
        </row>
        <row r="165">
          <cell r="B165" t="str">
            <v>CHECK AGENCY TRIAL BALANCE IS ZERO (Run uneliminated Line 999)</v>
          </cell>
          <cell r="C165" t="str">
            <v>-</v>
          </cell>
          <cell r="D165" t="str">
            <v>-</v>
          </cell>
          <cell r="E165" t="str">
            <v>-</v>
          </cell>
          <cell r="F165">
            <v>-5</v>
          </cell>
          <cell r="G165">
            <v>-5</v>
          </cell>
          <cell r="H165">
            <v>-1297</v>
          </cell>
          <cell r="I165">
            <v>-3975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>
        <row r="7">
          <cell r="B7" t="str">
            <v>CASH FLOW STATEMENT</v>
          </cell>
          <cell r="C7" t="str">
            <v xml:space="preserve">    Actuals</v>
          </cell>
          <cell r="D7" t="str">
            <v xml:space="preserve">    Budget</v>
          </cell>
          <cell r="E7" t="str">
            <v xml:space="preserve">  Projection</v>
          </cell>
          <cell r="F7" t="str">
            <v xml:space="preserve">    Budget</v>
          </cell>
          <cell r="G7" t="str">
            <v xml:space="preserve">    Budget</v>
          </cell>
          <cell r="H7" t="str">
            <v xml:space="preserve">    Budget</v>
          </cell>
          <cell r="I7" t="str">
            <v xml:space="preserve">    Budget</v>
          </cell>
        </row>
        <row r="8">
          <cell r="C8" t="str">
            <v xml:space="preserve">    2015-16</v>
          </cell>
          <cell r="D8" t="str">
            <v xml:space="preserve">    2016-17</v>
          </cell>
          <cell r="E8" t="str">
            <v xml:space="preserve">    2016-17</v>
          </cell>
          <cell r="F8" t="str">
            <v xml:space="preserve">    2017-18</v>
          </cell>
          <cell r="G8" t="str">
            <v xml:space="preserve">    2018-19</v>
          </cell>
          <cell r="H8" t="str">
            <v xml:space="preserve">    2019-20</v>
          </cell>
          <cell r="I8" t="str">
            <v xml:space="preserve">    2020-21</v>
          </cell>
        </row>
        <row r="9">
          <cell r="B9" t="str">
            <v>CASH FLOW STATEMENT</v>
          </cell>
          <cell r="C9" t="str">
            <v xml:space="preserve">      $m</v>
          </cell>
          <cell r="D9" t="str">
            <v xml:space="preserve">      $m</v>
          </cell>
          <cell r="E9" t="str">
            <v xml:space="preserve">      $m</v>
          </cell>
          <cell r="F9" t="str">
            <v xml:space="preserve">      $m</v>
          </cell>
          <cell r="G9" t="str">
            <v xml:space="preserve">      $m</v>
          </cell>
          <cell r="H9" t="str">
            <v xml:space="preserve">      $m</v>
          </cell>
          <cell r="I9" t="str">
            <v xml:space="preserve">      $m</v>
          </cell>
        </row>
        <row r="11">
          <cell r="B11" t="str">
            <v>AASB 1049 HARMONISED GAAP-GFS CASHFLOW STATEMENT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</row>
        <row r="12">
          <cell r="B12" t="str">
            <v>Cash Receipts from Operating Activities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</row>
        <row r="13">
          <cell r="B13" t="str">
            <v xml:space="preserve">     Taxes received</v>
          </cell>
          <cell r="C13">
            <v>28844</v>
          </cell>
          <cell r="D13">
            <v>29002</v>
          </cell>
          <cell r="E13">
            <v>30053</v>
          </cell>
          <cell r="F13">
            <v>31239</v>
          </cell>
          <cell r="G13">
            <v>32295</v>
          </cell>
          <cell r="H13">
            <v>33858</v>
          </cell>
          <cell r="I13">
            <v>35205</v>
          </cell>
        </row>
        <row r="14">
          <cell r="B14" t="str">
            <v xml:space="preserve">     Receipts from sales of goods and services</v>
          </cell>
          <cell r="C14">
            <v>17942</v>
          </cell>
          <cell r="D14">
            <v>17207</v>
          </cell>
          <cell r="E14">
            <v>15929</v>
          </cell>
          <cell r="F14">
            <v>14593</v>
          </cell>
          <cell r="G14">
            <v>14414</v>
          </cell>
          <cell r="H14">
            <v>14599</v>
          </cell>
          <cell r="I14">
            <v>14978</v>
          </cell>
        </row>
        <row r="15">
          <cell r="B15" t="str">
            <v xml:space="preserve">     Grants and subsidies received</v>
          </cell>
          <cell r="C15">
            <v>29873</v>
          </cell>
          <cell r="D15">
            <v>32010</v>
          </cell>
          <cell r="E15">
            <v>31318</v>
          </cell>
          <cell r="F15">
            <v>31655</v>
          </cell>
          <cell r="G15">
            <v>30682</v>
          </cell>
          <cell r="H15">
            <v>30577</v>
          </cell>
          <cell r="I15">
            <v>31244</v>
          </cell>
        </row>
        <row r="16">
          <cell r="B16" t="str">
            <v xml:space="preserve">     Interest receipts</v>
          </cell>
          <cell r="C16">
            <v>601</v>
          </cell>
          <cell r="D16">
            <v>847</v>
          </cell>
          <cell r="E16">
            <v>835</v>
          </cell>
          <cell r="F16">
            <v>414</v>
          </cell>
          <cell r="G16">
            <v>283</v>
          </cell>
          <cell r="H16">
            <v>285</v>
          </cell>
          <cell r="I16">
            <v>237</v>
          </cell>
        </row>
        <row r="17">
          <cell r="B17" t="str">
            <v xml:space="preserve">     Dividends and income tax equivalents</v>
          </cell>
          <cell r="C17">
            <v>106</v>
          </cell>
          <cell r="D17">
            <v>48</v>
          </cell>
          <cell r="E17">
            <v>64</v>
          </cell>
          <cell r="F17">
            <v>103</v>
          </cell>
          <cell r="G17">
            <v>77</v>
          </cell>
          <cell r="H17">
            <v>80</v>
          </cell>
          <cell r="I17">
            <v>87</v>
          </cell>
        </row>
        <row r="18">
          <cell r="B18" t="str">
            <v xml:space="preserve">     Other receipts</v>
          </cell>
          <cell r="C18">
            <v>9962</v>
          </cell>
          <cell r="D18">
            <v>9224</v>
          </cell>
          <cell r="E18">
            <v>8699</v>
          </cell>
          <cell r="F18">
            <v>8354</v>
          </cell>
          <cell r="G18">
            <v>8205</v>
          </cell>
          <cell r="H18">
            <v>8555</v>
          </cell>
          <cell r="I18">
            <v>8747</v>
          </cell>
        </row>
        <row r="19">
          <cell r="B19" t="str">
            <v xml:space="preserve">  Total Operating Receipts</v>
          </cell>
          <cell r="C19">
            <v>87328</v>
          </cell>
          <cell r="D19">
            <v>88337</v>
          </cell>
          <cell r="E19">
            <v>86897</v>
          </cell>
          <cell r="F19">
            <v>86358</v>
          </cell>
          <cell r="G19">
            <v>85956</v>
          </cell>
          <cell r="H19">
            <v>87954</v>
          </cell>
          <cell r="I19">
            <v>90498</v>
          </cell>
        </row>
        <row r="21">
          <cell r="B21" t="str">
            <v>Cash Payments for Operating Activities</v>
          </cell>
          <cell r="C21" t="str">
            <v>-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-</v>
          </cell>
          <cell r="H21" t="str">
            <v>-</v>
          </cell>
          <cell r="I21" t="str">
            <v>-</v>
          </cell>
        </row>
        <row r="22">
          <cell r="B22" t="str">
            <v xml:space="preserve">     Payments for employees</v>
          </cell>
          <cell r="C22">
            <v>-32191</v>
          </cell>
          <cell r="D22">
            <v>-32541</v>
          </cell>
          <cell r="E22">
            <v>-32563</v>
          </cell>
          <cell r="F22">
            <v>-33662</v>
          </cell>
          <cell r="G22">
            <v>-35788</v>
          </cell>
          <cell r="H22">
            <v>-37108</v>
          </cell>
          <cell r="I22">
            <v>-37928</v>
          </cell>
        </row>
        <row r="23">
          <cell r="B23" t="str">
            <v xml:space="preserve">     Payments for superannuation</v>
          </cell>
          <cell r="C23">
            <v>-4358</v>
          </cell>
          <cell r="D23">
            <v>-3838</v>
          </cell>
          <cell r="E23">
            <v>-4372</v>
          </cell>
          <cell r="F23">
            <v>-4735</v>
          </cell>
          <cell r="G23">
            <v>-4479</v>
          </cell>
          <cell r="H23">
            <v>-4560</v>
          </cell>
          <cell r="I23">
            <v>-4746</v>
          </cell>
        </row>
        <row r="24">
          <cell r="B24" t="str">
            <v xml:space="preserve">     Payments for goods and services</v>
          </cell>
          <cell r="C24">
            <v>-21711</v>
          </cell>
          <cell r="D24">
            <v>-25407</v>
          </cell>
          <cell r="E24">
            <v>-22921</v>
          </cell>
          <cell r="F24">
            <v>-21915</v>
          </cell>
          <cell r="G24">
            <v>-21750</v>
          </cell>
          <cell r="H24">
            <v>-23091</v>
          </cell>
          <cell r="I24">
            <v>-24789</v>
          </cell>
        </row>
        <row r="25">
          <cell r="B25" t="str">
            <v xml:space="preserve">     Grants and subsidies paid</v>
          </cell>
          <cell r="C25">
            <v>-7587</v>
          </cell>
          <cell r="D25">
            <v>-8059</v>
          </cell>
          <cell r="E25">
            <v>-7823</v>
          </cell>
          <cell r="F25">
            <v>-9000</v>
          </cell>
          <cell r="G25">
            <v>-8193</v>
          </cell>
          <cell r="H25">
            <v>-8267</v>
          </cell>
          <cell r="I25">
            <v>-8224</v>
          </cell>
        </row>
        <row r="26">
          <cell r="B26" t="str">
            <v xml:space="preserve">     Interest paid</v>
          </cell>
          <cell r="C26">
            <v>-3375</v>
          </cell>
          <cell r="D26">
            <v>-3166</v>
          </cell>
          <cell r="E26">
            <v>-3310</v>
          </cell>
          <cell r="F26">
            <v>-2464</v>
          </cell>
          <cell r="G26">
            <v>-2608</v>
          </cell>
          <cell r="H26">
            <v>-2967</v>
          </cell>
          <cell r="I26">
            <v>-3100</v>
          </cell>
        </row>
        <row r="27">
          <cell r="B27" t="str">
            <v xml:space="preserve">     Other payments</v>
          </cell>
          <cell r="C27">
            <v>-5821</v>
          </cell>
          <cell r="D27">
            <v>-5822</v>
          </cell>
          <cell r="E27">
            <v>-5846</v>
          </cell>
          <cell r="F27">
            <v>-6336</v>
          </cell>
          <cell r="G27">
            <v>-5606</v>
          </cell>
          <cell r="H27">
            <v>-5486</v>
          </cell>
          <cell r="I27">
            <v>-4860</v>
          </cell>
        </row>
        <row r="28">
          <cell r="B28" t="str">
            <v xml:space="preserve">  Total Operating Payments</v>
          </cell>
          <cell r="C28">
            <v>-75043</v>
          </cell>
          <cell r="D28">
            <v>-78834</v>
          </cell>
          <cell r="E28">
            <v>-76835</v>
          </cell>
          <cell r="F28">
            <v>-78112</v>
          </cell>
          <cell r="G28">
            <v>-78424</v>
          </cell>
          <cell r="H28">
            <v>-81480</v>
          </cell>
          <cell r="I28">
            <v>-83648</v>
          </cell>
        </row>
        <row r="29">
          <cell r="B29" t="str">
            <v>Net Cash Flows from Operating Activities (a)</v>
          </cell>
          <cell r="C29">
            <v>12285</v>
          </cell>
          <cell r="D29">
            <v>9503</v>
          </cell>
          <cell r="E29">
            <v>10062</v>
          </cell>
          <cell r="F29">
            <v>8246</v>
          </cell>
          <cell r="G29">
            <v>7532</v>
          </cell>
          <cell r="H29">
            <v>6474</v>
          </cell>
          <cell r="I29">
            <v>6850</v>
          </cell>
        </row>
        <row r="31">
          <cell r="B31" t="str">
            <v>Net Cash Flows from Investments in Non-financial Assets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</row>
        <row r="32">
          <cell r="B32" t="str">
            <v xml:space="preserve">     Sale of non financial assets</v>
          </cell>
          <cell r="C32">
            <v>1634</v>
          </cell>
          <cell r="D32">
            <v>1520</v>
          </cell>
          <cell r="E32">
            <v>4013</v>
          </cell>
          <cell r="F32">
            <v>1543</v>
          </cell>
          <cell r="G32">
            <v>1277</v>
          </cell>
          <cell r="H32">
            <v>1056</v>
          </cell>
          <cell r="I32">
            <v>754</v>
          </cell>
        </row>
        <row r="33">
          <cell r="B33" t="str">
            <v xml:space="preserve">     Purchases of non financial assets</v>
          </cell>
          <cell r="C33">
            <v>-15757</v>
          </cell>
          <cell r="D33">
            <v>-19934</v>
          </cell>
          <cell r="E33">
            <v>-17276</v>
          </cell>
          <cell r="F33">
            <v>-21866</v>
          </cell>
          <cell r="G33">
            <v>-19486</v>
          </cell>
          <cell r="H33">
            <v>-15422</v>
          </cell>
          <cell r="I33">
            <v>-11855</v>
          </cell>
        </row>
        <row r="34">
          <cell r="B34" t="str">
            <v>Net Cash Flows from Investments in Non-Financial Assets (b)</v>
          </cell>
          <cell r="C34">
            <v>-14123</v>
          </cell>
          <cell r="D34">
            <v>-18413</v>
          </cell>
          <cell r="E34">
            <v>-13263</v>
          </cell>
          <cell r="F34">
            <v>-20323</v>
          </cell>
          <cell r="G34">
            <v>-18209</v>
          </cell>
          <cell r="H34">
            <v>-14366</v>
          </cell>
          <cell r="I34">
            <v>-11101</v>
          </cell>
        </row>
        <row r="36">
          <cell r="B36" t="str">
            <v>Net Cash Flows from Investments from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</row>
        <row r="37">
          <cell r="B37" t="str">
            <v xml:space="preserve">     Financial Assets for Policy Purposes</v>
          </cell>
          <cell r="C37" t="str">
            <v>-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</row>
        <row r="38">
          <cell r="B38" t="str">
            <v xml:space="preserve">     Receipts (from advances repaid and equity disposals)</v>
          </cell>
          <cell r="C38">
            <v>9964</v>
          </cell>
          <cell r="D38">
            <v>159</v>
          </cell>
          <cell r="E38">
            <v>23400</v>
          </cell>
          <cell r="F38">
            <v>39</v>
          </cell>
          <cell r="G38">
            <v>118</v>
          </cell>
          <cell r="H38">
            <v>218</v>
          </cell>
          <cell r="I38">
            <v>513</v>
          </cell>
        </row>
        <row r="39">
          <cell r="B39" t="str">
            <v xml:space="preserve">     Payments (for advances made and equity acquisitions)</v>
          </cell>
          <cell r="C39">
            <v>-1735</v>
          </cell>
          <cell r="D39">
            <v>-1349</v>
          </cell>
          <cell r="E39">
            <v>-1327</v>
          </cell>
          <cell r="F39">
            <v>-391</v>
          </cell>
          <cell r="G39">
            <v>-591</v>
          </cell>
          <cell r="H39">
            <v>-682</v>
          </cell>
          <cell r="I39">
            <v>-613</v>
          </cell>
        </row>
        <row r="40">
          <cell r="B40" t="str">
            <v>Net CFs from Investments in Financial Assets for Policy Purposes (c)</v>
          </cell>
          <cell r="C40">
            <v>8228</v>
          </cell>
          <cell r="D40">
            <v>-1190</v>
          </cell>
          <cell r="E40">
            <v>22072</v>
          </cell>
          <cell r="F40">
            <v>-352</v>
          </cell>
          <cell r="G40">
            <v>-473</v>
          </cell>
          <cell r="H40">
            <v>-464</v>
          </cell>
          <cell r="I40">
            <v>-100</v>
          </cell>
        </row>
        <row r="42">
          <cell r="B42" t="str">
            <v>Net Cash Flows from Investments from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</row>
        <row r="43">
          <cell r="B43" t="str">
            <v xml:space="preserve">  Financial Assets for Liquidity Purposes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</row>
        <row r="44">
          <cell r="B44" t="str">
            <v xml:space="preserve">     Receipts from sale/maturity of investments</v>
          </cell>
          <cell r="C44">
            <v>9546</v>
          </cell>
          <cell r="D44">
            <v>10772</v>
          </cell>
          <cell r="E44">
            <v>23153</v>
          </cell>
          <cell r="F44">
            <v>7477</v>
          </cell>
          <cell r="G44">
            <v>7553</v>
          </cell>
          <cell r="H44">
            <v>3359</v>
          </cell>
          <cell r="I44">
            <v>2077</v>
          </cell>
        </row>
        <row r="45">
          <cell r="B45" t="str">
            <v xml:space="preserve">     Payments for purchases of investments</v>
          </cell>
          <cell r="C45">
            <v>-22344</v>
          </cell>
          <cell r="D45">
            <v>-9265</v>
          </cell>
          <cell r="E45">
            <v>-26808</v>
          </cell>
          <cell r="F45">
            <v>-5904</v>
          </cell>
          <cell r="G45">
            <v>-1258</v>
          </cell>
          <cell r="H45">
            <v>-1240</v>
          </cell>
          <cell r="I45">
            <v>-1354</v>
          </cell>
        </row>
        <row r="46">
          <cell r="B46" t="str">
            <v>Net CFs from Investments in Financial Assets for Liquidity Purposes(d)</v>
          </cell>
          <cell r="C46">
            <v>-12798</v>
          </cell>
          <cell r="D46">
            <v>1507</v>
          </cell>
          <cell r="E46">
            <v>-3655</v>
          </cell>
          <cell r="F46">
            <v>1573</v>
          </cell>
          <cell r="G46">
            <v>6295</v>
          </cell>
          <cell r="H46">
            <v>2119</v>
          </cell>
          <cell r="I46">
            <v>723</v>
          </cell>
        </row>
        <row r="48">
          <cell r="B48" t="str">
            <v>Net Cash Flows from Financing Activities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</row>
        <row r="49">
          <cell r="B49" t="str">
            <v xml:space="preserve">     Advances received</v>
          </cell>
          <cell r="C49">
            <v>1874</v>
          </cell>
          <cell r="D49">
            <v>995</v>
          </cell>
          <cell r="E49">
            <v>1062</v>
          </cell>
          <cell r="F49">
            <v>185</v>
          </cell>
          <cell r="G49">
            <v>207</v>
          </cell>
          <cell r="H49">
            <v>54</v>
          </cell>
          <cell r="I49">
            <v>4</v>
          </cell>
        </row>
        <row r="50">
          <cell r="B50" t="str">
            <v xml:space="preserve">     Advances repaid</v>
          </cell>
          <cell r="C50">
            <v>-136</v>
          </cell>
          <cell r="D50">
            <v>-57</v>
          </cell>
          <cell r="E50">
            <v>-66</v>
          </cell>
          <cell r="F50">
            <v>-53</v>
          </cell>
          <cell r="G50">
            <v>-54</v>
          </cell>
          <cell r="H50">
            <v>-54</v>
          </cell>
          <cell r="I50">
            <v>-55</v>
          </cell>
        </row>
        <row r="51">
          <cell r="B51" t="str">
            <v xml:space="preserve">     Proceeds from borrowings</v>
          </cell>
          <cell r="C51">
            <v>8102</v>
          </cell>
          <cell r="D51">
            <v>3733</v>
          </cell>
          <cell r="E51">
            <v>3828</v>
          </cell>
          <cell r="F51">
            <v>5319</v>
          </cell>
          <cell r="G51">
            <v>6635</v>
          </cell>
          <cell r="H51">
            <v>7168</v>
          </cell>
          <cell r="I51">
            <v>3536</v>
          </cell>
        </row>
        <row r="52">
          <cell r="B52" t="str">
            <v xml:space="preserve">     Repayments of borrowings</v>
          </cell>
          <cell r="C52">
            <v>-9338</v>
          </cell>
          <cell r="D52">
            <v>-635</v>
          </cell>
          <cell r="E52">
            <v>-15314</v>
          </cell>
          <cell r="F52">
            <v>-1858</v>
          </cell>
          <cell r="G52">
            <v>-1779</v>
          </cell>
          <cell r="H52">
            <v>-954</v>
          </cell>
          <cell r="I52">
            <v>-738</v>
          </cell>
        </row>
        <row r="53">
          <cell r="B53" t="str">
            <v xml:space="preserve">     Dividends paid (n.a. for GG/TS sectors) [needs recoding for PTE]</v>
          </cell>
          <cell r="C53" t="str">
            <v>-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-</v>
          </cell>
        </row>
        <row r="54">
          <cell r="B54" t="str">
            <v xml:space="preserve">     Deposits received (net)</v>
          </cell>
          <cell r="C54">
            <v>-63</v>
          </cell>
          <cell r="D54">
            <v>-25</v>
          </cell>
          <cell r="E54">
            <v>-30</v>
          </cell>
          <cell r="F54">
            <v>-14</v>
          </cell>
          <cell r="G54">
            <v>-12</v>
          </cell>
          <cell r="H54">
            <v>5</v>
          </cell>
          <cell r="I54">
            <v>5</v>
          </cell>
        </row>
        <row r="55">
          <cell r="B55" t="str">
            <v xml:space="preserve">     Other financing (net)</v>
          </cell>
          <cell r="C55">
            <v>3</v>
          </cell>
          <cell r="D55" t="str">
            <v>-</v>
          </cell>
          <cell r="E55" t="str">
            <v>-</v>
          </cell>
          <cell r="F55">
            <v>-100</v>
          </cell>
          <cell r="G55">
            <v>-100</v>
          </cell>
          <cell r="H55">
            <v>-100</v>
          </cell>
          <cell r="I55">
            <v>-246</v>
          </cell>
        </row>
        <row r="65">
          <cell r="B65" t="str">
            <v>CASH FLOW STATEMENT</v>
          </cell>
          <cell r="C65" t="str">
            <v xml:space="preserve">    Actuals</v>
          </cell>
          <cell r="D65" t="str">
            <v xml:space="preserve">    Budget</v>
          </cell>
          <cell r="E65" t="str">
            <v xml:space="preserve">  Projection</v>
          </cell>
          <cell r="F65" t="str">
            <v xml:space="preserve">    Budget</v>
          </cell>
          <cell r="G65" t="str">
            <v xml:space="preserve">    Budget</v>
          </cell>
          <cell r="H65" t="str">
            <v xml:space="preserve">    Budget</v>
          </cell>
          <cell r="I65" t="str">
            <v xml:space="preserve">    Budget</v>
          </cell>
        </row>
        <row r="66">
          <cell r="C66" t="str">
            <v xml:space="preserve">    2015-16</v>
          </cell>
          <cell r="D66" t="str">
            <v xml:space="preserve">    2016-17</v>
          </cell>
          <cell r="E66" t="str">
            <v xml:space="preserve">    2016-17</v>
          </cell>
          <cell r="F66" t="str">
            <v xml:space="preserve">    2017-18</v>
          </cell>
          <cell r="G66" t="str">
            <v xml:space="preserve">    2018-19</v>
          </cell>
          <cell r="H66" t="str">
            <v xml:space="preserve">    2019-20</v>
          </cell>
          <cell r="I66" t="str">
            <v xml:space="preserve">    2020-21</v>
          </cell>
        </row>
        <row r="67">
          <cell r="B67" t="str">
            <v>CASH FLOW STATEMENT</v>
          </cell>
          <cell r="C67" t="str">
            <v xml:space="preserve">      $m</v>
          </cell>
          <cell r="D67" t="str">
            <v xml:space="preserve">      $m</v>
          </cell>
          <cell r="E67" t="str">
            <v xml:space="preserve">      $m</v>
          </cell>
          <cell r="F67" t="str">
            <v xml:space="preserve">      $m</v>
          </cell>
          <cell r="G67" t="str">
            <v xml:space="preserve">      $m</v>
          </cell>
          <cell r="H67" t="str">
            <v xml:space="preserve">      $m</v>
          </cell>
          <cell r="I67" t="str">
            <v xml:space="preserve">      $m</v>
          </cell>
        </row>
        <row r="69">
          <cell r="B69" t="str">
            <v>Net Cash Flows from Financing Activities (e)</v>
          </cell>
          <cell r="C69">
            <v>442</v>
          </cell>
          <cell r="D69">
            <v>4011</v>
          </cell>
          <cell r="E69">
            <v>-10520</v>
          </cell>
          <cell r="F69">
            <v>3478</v>
          </cell>
          <cell r="G69">
            <v>4896</v>
          </cell>
          <cell r="H69">
            <v>6119</v>
          </cell>
          <cell r="I69">
            <v>2506</v>
          </cell>
        </row>
        <row r="71">
          <cell r="B71" t="str">
            <v>Net Increase/(Decrease) in Cash Held (a+b+c+d+e)</v>
          </cell>
          <cell r="C71">
            <v>-5965</v>
          </cell>
          <cell r="D71">
            <v>-4583</v>
          </cell>
          <cell r="E71">
            <v>4696</v>
          </cell>
          <cell r="F71">
            <v>-7378</v>
          </cell>
          <cell r="G71">
            <v>42</v>
          </cell>
          <cell r="H71">
            <v>-119</v>
          </cell>
          <cell r="I71">
            <v>-1121</v>
          </cell>
        </row>
        <row r="72">
          <cell r="B72" t="str">
            <v>Opening cash and cash equivalents - INSERT THIS AMOUNT MANUALLY</v>
          </cell>
          <cell r="C72" t="str">
            <v>-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-</v>
          </cell>
          <cell r="I72" t="str">
            <v>-</v>
          </cell>
        </row>
        <row r="73">
          <cell r="B73" t="str">
            <v>Reclassification of cash and cash equivalents</v>
          </cell>
          <cell r="C73">
            <v>-39</v>
          </cell>
          <cell r="D73">
            <v>5</v>
          </cell>
          <cell r="E73">
            <v>10</v>
          </cell>
          <cell r="F73">
            <v>82</v>
          </cell>
          <cell r="G73">
            <v>76</v>
          </cell>
          <cell r="H73">
            <v>86</v>
          </cell>
          <cell r="I73">
            <v>105</v>
          </cell>
        </row>
        <row r="74">
          <cell r="B74" t="str">
            <v>Closing Cash and cash equivalents - CHECK TO THE BS REPORT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</row>
        <row r="75">
          <cell r="B75" t="str">
            <v>Cash and cash equivalents at end of year</v>
          </cell>
          <cell r="C75">
            <v>-39</v>
          </cell>
          <cell r="D75">
            <v>5</v>
          </cell>
          <cell r="E75">
            <v>10</v>
          </cell>
          <cell r="F75">
            <v>82</v>
          </cell>
          <cell r="G75">
            <v>76</v>
          </cell>
          <cell r="H75">
            <v>86</v>
          </cell>
          <cell r="I75">
            <v>105</v>
          </cell>
        </row>
        <row r="78">
          <cell r="B78" t="str">
            <v>KEY FISCAL AGGREGATES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</row>
        <row r="79">
          <cell r="B79" t="str">
            <v xml:space="preserve">     Net cash flows from operating activities</v>
          </cell>
          <cell r="C79">
            <v>12285</v>
          </cell>
          <cell r="D79">
            <v>9503</v>
          </cell>
          <cell r="E79">
            <v>10062</v>
          </cell>
          <cell r="F79">
            <v>8246</v>
          </cell>
          <cell r="G79">
            <v>7532</v>
          </cell>
          <cell r="H79">
            <v>6474</v>
          </cell>
          <cell r="I79">
            <v>6850</v>
          </cell>
        </row>
        <row r="80">
          <cell r="B80" t="str">
            <v xml:space="preserve">     Net cash flows from investments in non-financial assets</v>
          </cell>
          <cell r="C80">
            <v>-14123</v>
          </cell>
          <cell r="D80">
            <v>-18413</v>
          </cell>
          <cell r="E80">
            <v>-13263</v>
          </cell>
          <cell r="F80">
            <v>-20323</v>
          </cell>
          <cell r="G80">
            <v>-18209</v>
          </cell>
          <cell r="H80">
            <v>-14366</v>
          </cell>
          <cell r="I80">
            <v>-11101</v>
          </cell>
        </row>
        <row r="81">
          <cell r="B81" t="str">
            <v xml:space="preserve">     Dividends paid (n.a. for GG/TS sectors) [needs recoding for PTE]</v>
          </cell>
          <cell r="C81" t="str">
            <v>-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</row>
        <row r="82">
          <cell r="B82" t="str">
            <v>CASH SURPLUS/(DEFICIT) -  [AASB1049 harmonised basis]</v>
          </cell>
          <cell r="C82">
            <v>-1838</v>
          </cell>
          <cell r="D82">
            <v>-8910</v>
          </cell>
          <cell r="E82">
            <v>-3201</v>
          </cell>
          <cell r="F82">
            <v>-12077</v>
          </cell>
          <cell r="G82">
            <v>-10677</v>
          </cell>
          <cell r="H82">
            <v>-7892</v>
          </cell>
          <cell r="I82">
            <v>-4251</v>
          </cell>
        </row>
        <row r="83">
          <cell r="B83" t="str">
            <v xml:space="preserve">     Acquisitions under finance leases</v>
          </cell>
          <cell r="C83">
            <v>-311</v>
          </cell>
          <cell r="D83">
            <v>-1726</v>
          </cell>
          <cell r="E83">
            <v>-1640</v>
          </cell>
          <cell r="F83">
            <v>-192</v>
          </cell>
          <cell r="G83">
            <v>-3584</v>
          </cell>
          <cell r="H83">
            <v>-216</v>
          </cell>
          <cell r="I83">
            <v>-222</v>
          </cell>
        </row>
        <row r="84">
          <cell r="B84" t="str">
            <v xml:space="preserve">     Similar financing arrangements</v>
          </cell>
          <cell r="C84">
            <v>-143</v>
          </cell>
          <cell r="D84">
            <v>-173</v>
          </cell>
          <cell r="E84">
            <v>285</v>
          </cell>
          <cell r="F84">
            <v>-305</v>
          </cell>
          <cell r="G84">
            <v>170</v>
          </cell>
          <cell r="H84">
            <v>-38</v>
          </cell>
          <cell r="I84">
            <v>67</v>
          </cell>
        </row>
        <row r="85">
          <cell r="B85" t="str">
            <v>ABS GFS CASH SURPLUS/(DEFICIT) - inc. finance leases</v>
          </cell>
          <cell r="C85">
            <v>-2292</v>
          </cell>
          <cell r="D85">
            <v>-10809</v>
          </cell>
          <cell r="E85">
            <v>-4556</v>
          </cell>
          <cell r="F85">
            <v>-12574</v>
          </cell>
          <cell r="G85">
            <v>-14091</v>
          </cell>
          <cell r="H85">
            <v>-8145</v>
          </cell>
          <cell r="I85">
            <v>-4406</v>
          </cell>
        </row>
        <row r="88">
          <cell r="B88" t="str">
            <v>CONTROL CHECKS</v>
          </cell>
          <cell r="C88" t="str">
            <v>-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</row>
        <row r="90">
          <cell r="B90" t="str">
            <v>Check RESULT by Agency 2111-2129,2210,2221-6,2591</v>
          </cell>
          <cell r="C90">
            <v>-1835</v>
          </cell>
          <cell r="D90">
            <v>-8910</v>
          </cell>
          <cell r="E90">
            <v>-3201</v>
          </cell>
          <cell r="F90">
            <v>-12177</v>
          </cell>
          <cell r="G90">
            <v>-10777</v>
          </cell>
          <cell r="H90">
            <v>-7992</v>
          </cell>
          <cell r="I90">
            <v>-4497</v>
          </cell>
        </row>
        <row r="92">
          <cell r="B92" t="str">
            <v xml:space="preserve">     CASH ETF 2224-2226 MVT IN NET CAPEX REC/PAYABLES</v>
          </cell>
          <cell r="C92">
            <v>143</v>
          </cell>
          <cell r="D92">
            <v>173</v>
          </cell>
          <cell r="E92">
            <v>-285</v>
          </cell>
          <cell r="F92">
            <v>305</v>
          </cell>
          <cell r="G92">
            <v>-170</v>
          </cell>
          <cell r="H92">
            <v>38</v>
          </cell>
          <cell r="I92">
            <v>-67</v>
          </cell>
        </row>
        <row r="93">
          <cell r="B93" t="str">
            <v xml:space="preserve">     CASH ETF 2224 Movt in NEW asset purchase payables</v>
          </cell>
          <cell r="C93">
            <v>133</v>
          </cell>
          <cell r="D93">
            <v>173</v>
          </cell>
          <cell r="E93">
            <v>-46</v>
          </cell>
          <cell r="F93">
            <v>222</v>
          </cell>
          <cell r="G93">
            <v>-251</v>
          </cell>
          <cell r="H93">
            <v>-44</v>
          </cell>
          <cell r="I93">
            <v>-67</v>
          </cell>
        </row>
        <row r="94">
          <cell r="B94" t="str">
            <v xml:space="preserve">     CASH ETF 2225 Movt in 2ND hand asset purchase payables</v>
          </cell>
          <cell r="C94" t="str">
            <v>-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-</v>
          </cell>
          <cell r="H94" t="str">
            <v>-</v>
          </cell>
          <cell r="I94" t="str">
            <v>-</v>
          </cell>
        </row>
        <row r="95">
          <cell r="B95" t="str">
            <v xml:space="preserve">     CASH ETF 2226 Movt in asset sale receviables</v>
          </cell>
          <cell r="C95">
            <v>9</v>
          </cell>
          <cell r="D95" t="str">
            <v>-</v>
          </cell>
          <cell r="E95">
            <v>-239</v>
          </cell>
          <cell r="F95">
            <v>83</v>
          </cell>
          <cell r="G95">
            <v>81</v>
          </cell>
          <cell r="H95">
            <v>81</v>
          </cell>
          <cell r="I95" t="str">
            <v>-</v>
          </cell>
        </row>
        <row r="97">
          <cell r="B97" t="str">
            <v>Check ABS GFS RESULT by Agency 2111-2129,2210,2221-3,2591,4101</v>
          </cell>
          <cell r="C97">
            <v>-2288</v>
          </cell>
          <cell r="D97">
            <v>-10809</v>
          </cell>
          <cell r="E97">
            <v>-4556</v>
          </cell>
          <cell r="F97">
            <v>-12674</v>
          </cell>
          <cell r="G97">
            <v>-14191</v>
          </cell>
          <cell r="H97">
            <v>-8245</v>
          </cell>
          <cell r="I97">
            <v>-4652</v>
          </cell>
        </row>
        <row r="99">
          <cell r="B99" t="str">
            <v>Check Net Increase / (Decrease) in Cash Held (2601 &amp; 2609)</v>
          </cell>
          <cell r="C99">
            <v>-5954</v>
          </cell>
          <cell r="D99">
            <v>-4969</v>
          </cell>
          <cell r="E99">
            <v>4484</v>
          </cell>
          <cell r="F99">
            <v>-7284</v>
          </cell>
          <cell r="G99">
            <v>12</v>
          </cell>
          <cell r="H99">
            <v>-191</v>
          </cell>
          <cell r="I99">
            <v>-1193</v>
          </cell>
        </row>
        <row r="101">
          <cell r="B101" t="str">
            <v>5000s Code Check 4 CF errors (should be zero combined with 6000s)</v>
          </cell>
          <cell r="C101">
            <v>-15</v>
          </cell>
          <cell r="D101">
            <v>1068</v>
          </cell>
          <cell r="E101">
            <v>555</v>
          </cell>
          <cell r="F101">
            <v>-44</v>
          </cell>
          <cell r="G101">
            <v>77</v>
          </cell>
          <cell r="H101">
            <v>138</v>
          </cell>
          <cell r="I101">
            <v>190</v>
          </cell>
        </row>
        <row r="102">
          <cell r="B102" t="str">
            <v>6000s Code Check 4 CF errors (should be zero combined with 5000s)</v>
          </cell>
          <cell r="C102" t="str">
            <v>-</v>
          </cell>
          <cell r="D102">
            <v>-666</v>
          </cell>
          <cell r="E102">
            <v>-337</v>
          </cell>
          <cell r="F102">
            <v>-43</v>
          </cell>
          <cell r="G102">
            <v>-47</v>
          </cell>
          <cell r="H102">
            <v>-65</v>
          </cell>
          <cell r="I102">
            <v>-119</v>
          </cell>
        </row>
        <row r="103">
          <cell r="B103" t="str">
            <v>Total for Code Check 4 CF errors (should be zero)</v>
          </cell>
          <cell r="C103">
            <v>-14</v>
          </cell>
          <cell r="D103">
            <v>401</v>
          </cell>
          <cell r="E103">
            <v>218</v>
          </cell>
          <cell r="F103">
            <v>-87</v>
          </cell>
          <cell r="G103">
            <v>29</v>
          </cell>
          <cell r="H103">
            <v>73</v>
          </cell>
          <cell r="I103">
            <v>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42272-34BB-42FB-8757-653203702B63}">
  <dimension ref="A1:I8"/>
  <sheetViews>
    <sheetView showFormulas="1" showGridLines="0" tabSelected="1" zoomScaleNormal="100" zoomScaleSheetLayoutView="100" workbookViewId="0">
      <selection activeCell="A11" sqref="A11"/>
    </sheetView>
  </sheetViews>
  <sheetFormatPr defaultColWidth="9.1796875" defaultRowHeight="14" x14ac:dyDescent="0.3"/>
  <cols>
    <col min="1" max="1" width="81.1796875" style="191" customWidth="1"/>
    <col min="2" max="16384" width="9.1796875" style="191"/>
  </cols>
  <sheetData>
    <row r="1" spans="1:9" ht="15.5" x14ac:dyDescent="0.35">
      <c r="A1" s="190" t="s">
        <v>184</v>
      </c>
    </row>
    <row r="3" spans="1:9" ht="12" customHeight="1" x14ac:dyDescent="0.3">
      <c r="A3" s="192"/>
    </row>
    <row r="4" spans="1:9" ht="36" customHeight="1" x14ac:dyDescent="0.3">
      <c r="A4" s="192" t="s">
        <v>201</v>
      </c>
      <c r="B4" s="193"/>
      <c r="C4" s="193"/>
      <c r="D4" s="193"/>
      <c r="E4" s="193"/>
      <c r="F4" s="193"/>
      <c r="G4" s="193"/>
      <c r="H4" s="193"/>
      <c r="I4" s="193"/>
    </row>
    <row r="5" spans="1:9" ht="14.5" x14ac:dyDescent="0.35">
      <c r="A5" s="194"/>
      <c r="B5" s="193"/>
      <c r="C5" s="193"/>
      <c r="D5" s="193"/>
      <c r="E5" s="193"/>
      <c r="F5" s="193"/>
      <c r="G5" s="193"/>
      <c r="H5" s="193"/>
      <c r="I5" s="193"/>
    </row>
    <row r="6" spans="1:9" ht="16.5" customHeight="1" x14ac:dyDescent="0.3">
      <c r="A6" s="192"/>
      <c r="B6" s="195"/>
      <c r="C6" s="195"/>
      <c r="D6" s="195"/>
      <c r="E6" s="195"/>
      <c r="F6" s="195"/>
      <c r="G6" s="195"/>
      <c r="H6" s="195"/>
      <c r="I6" s="195"/>
    </row>
    <row r="8" spans="1:9" ht="14.5" x14ac:dyDescent="0.35">
      <c r="A8" s="196" t="s">
        <v>185</v>
      </c>
    </row>
  </sheetData>
  <pageMargins left="0.75" right="0.75" top="1" bottom="1" header="0.5" footer="0.5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Q59"/>
  <sheetViews>
    <sheetView showGridLines="0" zoomScaleNormal="100" workbookViewId="0">
      <selection activeCell="A36" sqref="A36"/>
    </sheetView>
  </sheetViews>
  <sheetFormatPr defaultColWidth="9.1796875" defaultRowHeight="10" x14ac:dyDescent="0.2"/>
  <cols>
    <col min="1" max="1" width="14.453125" style="1" customWidth="1"/>
    <col min="2" max="17" width="9.1796875" style="1" customWidth="1"/>
    <col min="18" max="16384" width="9.1796875" style="1"/>
  </cols>
  <sheetData>
    <row r="1" spans="1:17" ht="10.5" x14ac:dyDescent="0.25">
      <c r="A1" s="197" t="s">
        <v>197</v>
      </c>
    </row>
    <row r="3" spans="1:17" ht="35.5" customHeight="1" x14ac:dyDescent="0.25">
      <c r="A3" s="186"/>
      <c r="B3" s="198" t="s">
        <v>7</v>
      </c>
      <c r="C3" s="198"/>
      <c r="D3" s="198"/>
      <c r="E3" s="198" t="s">
        <v>8</v>
      </c>
      <c r="F3" s="198"/>
      <c r="G3" s="198"/>
      <c r="H3" s="198" t="s">
        <v>3</v>
      </c>
      <c r="I3" s="198"/>
      <c r="J3" s="198"/>
      <c r="K3" s="198" t="s">
        <v>9</v>
      </c>
      <c r="L3" s="198"/>
      <c r="M3" s="198" t="s">
        <v>171</v>
      </c>
      <c r="N3" s="198"/>
      <c r="O3" s="198" t="s">
        <v>10</v>
      </c>
      <c r="P3" s="198"/>
      <c r="Q3" s="187" t="s">
        <v>11</v>
      </c>
    </row>
    <row r="4" spans="1:17" s="2" customFormat="1" ht="32.5" customHeight="1" x14ac:dyDescent="0.2">
      <c r="A4" s="188"/>
      <c r="B4" s="189" t="s">
        <v>12</v>
      </c>
      <c r="C4" s="189" t="s">
        <v>13</v>
      </c>
      <c r="D4" s="189" t="s">
        <v>14</v>
      </c>
      <c r="E4" s="189" t="s">
        <v>12</v>
      </c>
      <c r="F4" s="189" t="s">
        <v>13</v>
      </c>
      <c r="G4" s="189" t="s">
        <v>14</v>
      </c>
      <c r="H4" s="189" t="s">
        <v>12</v>
      </c>
      <c r="I4" s="189" t="s">
        <v>13</v>
      </c>
      <c r="J4" s="189" t="s">
        <v>14</v>
      </c>
      <c r="K4" s="189" t="s">
        <v>12</v>
      </c>
      <c r="L4" s="189" t="s">
        <v>13</v>
      </c>
      <c r="M4" s="189" t="s">
        <v>12</v>
      </c>
      <c r="N4" s="189" t="s">
        <v>13</v>
      </c>
      <c r="O4" s="189" t="s">
        <v>12</v>
      </c>
      <c r="P4" s="189" t="s">
        <v>13</v>
      </c>
      <c r="Q4" s="189" t="s">
        <v>12</v>
      </c>
    </row>
    <row r="5" spans="1:17" ht="13.5" customHeight="1" x14ac:dyDescent="0.2">
      <c r="A5" s="1" t="s">
        <v>15</v>
      </c>
      <c r="B5" s="154">
        <v>11724</v>
      </c>
      <c r="C5" s="155">
        <v>5.7632184360068432</v>
      </c>
      <c r="D5" s="156" t="s">
        <v>16</v>
      </c>
      <c r="E5" s="154">
        <v>26089</v>
      </c>
      <c r="F5" s="155">
        <v>12.824684900800284</v>
      </c>
      <c r="G5" s="156" t="s">
        <v>16</v>
      </c>
      <c r="H5" s="154">
        <v>25278</v>
      </c>
      <c r="I5" s="155">
        <v>12.426018050612502</v>
      </c>
      <c r="J5" s="156" t="s">
        <v>16</v>
      </c>
      <c r="K5" s="154">
        <v>811</v>
      </c>
      <c r="L5" s="155">
        <v>0.39866685018778142</v>
      </c>
      <c r="M5" s="154">
        <v>2607</v>
      </c>
      <c r="N5" s="155">
        <v>1.281534498692412</v>
      </c>
      <c r="O5" s="154">
        <v>-581</v>
      </c>
      <c r="P5" s="155">
        <v>-0.28560473484476079</v>
      </c>
      <c r="Q5" s="156">
        <v>203428</v>
      </c>
    </row>
    <row r="6" spans="1:17" ht="13.5" customHeight="1" x14ac:dyDescent="0.2">
      <c r="A6" s="1" t="s">
        <v>17</v>
      </c>
      <c r="B6" s="154">
        <v>12897</v>
      </c>
      <c r="C6" s="155">
        <v>6.0071263885977784</v>
      </c>
      <c r="D6" s="155">
        <v>10.005117707267154</v>
      </c>
      <c r="E6" s="154">
        <v>27335</v>
      </c>
      <c r="F6" s="155">
        <v>12.73201518433126</v>
      </c>
      <c r="G6" s="155">
        <v>4.7759592165280473</v>
      </c>
      <c r="H6" s="154">
        <v>26017</v>
      </c>
      <c r="I6" s="155">
        <v>12.118121055450755</v>
      </c>
      <c r="J6" s="155">
        <v>2.9234907824986056</v>
      </c>
      <c r="K6" s="154">
        <v>1317</v>
      </c>
      <c r="L6" s="155">
        <v>0.6134283518479704</v>
      </c>
      <c r="M6" s="154">
        <v>2736</v>
      </c>
      <c r="N6" s="155">
        <v>1.2743659610144624</v>
      </c>
      <c r="O6" s="154">
        <v>-420</v>
      </c>
      <c r="P6" s="155">
        <v>-0.19562635366450082</v>
      </c>
      <c r="Q6" s="156">
        <v>214695</v>
      </c>
    </row>
    <row r="7" spans="1:17" ht="13.5" customHeight="1" x14ac:dyDescent="0.2">
      <c r="A7" s="1" t="s">
        <v>18</v>
      </c>
      <c r="B7" s="154">
        <v>14115</v>
      </c>
      <c r="C7" s="155">
        <v>6.2334117938005926</v>
      </c>
      <c r="D7" s="155">
        <v>9.444056757385443</v>
      </c>
      <c r="E7" s="154">
        <v>28950</v>
      </c>
      <c r="F7" s="155">
        <v>12.784787207263701</v>
      </c>
      <c r="G7" s="155">
        <v>5.9081763307115454</v>
      </c>
      <c r="H7" s="154">
        <v>27900</v>
      </c>
      <c r="I7" s="155">
        <v>12.321090261922532</v>
      </c>
      <c r="J7" s="155">
        <v>7.2375754314486729</v>
      </c>
      <c r="K7" s="154">
        <v>1050</v>
      </c>
      <c r="L7" s="155">
        <v>0.46369694534117051</v>
      </c>
      <c r="M7" s="154">
        <v>3002</v>
      </c>
      <c r="N7" s="155">
        <v>1.3257316475373275</v>
      </c>
      <c r="O7" s="154">
        <v>-123</v>
      </c>
      <c r="P7" s="155">
        <v>-5.4318785025679973E-2</v>
      </c>
      <c r="Q7" s="156">
        <v>226441</v>
      </c>
    </row>
    <row r="8" spans="1:17" ht="13.5" customHeight="1" x14ac:dyDescent="0.2">
      <c r="A8" s="1" t="s">
        <v>19</v>
      </c>
      <c r="B8" s="154">
        <v>15185</v>
      </c>
      <c r="C8" s="155">
        <v>6.2831276196938912</v>
      </c>
      <c r="D8" s="155">
        <v>7.5805880269217196</v>
      </c>
      <c r="E8" s="154">
        <v>30556</v>
      </c>
      <c r="F8" s="155">
        <v>12.643216828934248</v>
      </c>
      <c r="G8" s="155">
        <v>5.5474956822107124</v>
      </c>
      <c r="H8" s="154">
        <v>28530</v>
      </c>
      <c r="I8" s="155">
        <v>11.804914783659317</v>
      </c>
      <c r="J8" s="155">
        <v>2.2580645161290214</v>
      </c>
      <c r="K8" s="154">
        <v>2026</v>
      </c>
      <c r="L8" s="155">
        <v>0.8383020452749308</v>
      </c>
      <c r="M8" s="154">
        <v>2733</v>
      </c>
      <c r="N8" s="155">
        <v>1.1308388399488578</v>
      </c>
      <c r="O8" s="154">
        <v>1345</v>
      </c>
      <c r="P8" s="155">
        <v>0.55652332225803647</v>
      </c>
      <c r="Q8" s="156">
        <v>241679</v>
      </c>
    </row>
    <row r="9" spans="1:17" ht="13.5" customHeight="1" x14ac:dyDescent="0.2">
      <c r="A9" s="1" t="s">
        <v>20</v>
      </c>
      <c r="B9" s="154">
        <v>13337</v>
      </c>
      <c r="C9" s="155">
        <v>5.2267935383240713</v>
      </c>
      <c r="D9" s="155">
        <v>-12.169904511030627</v>
      </c>
      <c r="E9" s="154">
        <v>32091</v>
      </c>
      <c r="F9" s="155">
        <v>12.576518815202654</v>
      </c>
      <c r="G9" s="155">
        <v>5.0235632936248109</v>
      </c>
      <c r="H9" s="154">
        <v>30584</v>
      </c>
      <c r="I9" s="155">
        <v>11.985922889413168</v>
      </c>
      <c r="J9" s="155">
        <v>7.1994391868208885</v>
      </c>
      <c r="K9" s="154">
        <v>1507</v>
      </c>
      <c r="L9" s="155">
        <v>0.59059592578948605</v>
      </c>
      <c r="M9" s="154">
        <v>2859</v>
      </c>
      <c r="N9" s="155">
        <v>1.1204470815077245</v>
      </c>
      <c r="O9" s="154">
        <v>545</v>
      </c>
      <c r="P9" s="155">
        <v>0.21358644960535492</v>
      </c>
      <c r="Q9" s="156">
        <v>255166</v>
      </c>
    </row>
    <row r="10" spans="1:17" ht="13.5" customHeight="1" x14ac:dyDescent="0.2">
      <c r="A10" s="1" t="s">
        <v>21</v>
      </c>
      <c r="B10" s="154">
        <v>13210</v>
      </c>
      <c r="C10" s="155">
        <v>4.9925923686279257</v>
      </c>
      <c r="D10" s="155">
        <v>-0.95223813451300598</v>
      </c>
      <c r="E10" s="154">
        <v>33843</v>
      </c>
      <c r="F10" s="155">
        <v>12.790636149241097</v>
      </c>
      <c r="G10" s="155">
        <v>5.4594746190520738</v>
      </c>
      <c r="H10" s="154">
        <v>32263</v>
      </c>
      <c r="I10" s="155">
        <v>12.193490354961602</v>
      </c>
      <c r="J10" s="155">
        <v>5.4897985874967192</v>
      </c>
      <c r="K10" s="154">
        <v>1580</v>
      </c>
      <c r="L10" s="155">
        <v>0.59714579427949444</v>
      </c>
      <c r="M10" s="154">
        <v>3102</v>
      </c>
      <c r="N10" s="155">
        <v>1.1723710467436657</v>
      </c>
      <c r="O10" s="154">
        <v>588</v>
      </c>
      <c r="P10" s="155">
        <v>0.22222894116224223</v>
      </c>
      <c r="Q10" s="156">
        <v>264592</v>
      </c>
    </row>
    <row r="11" spans="1:17" ht="13.5" customHeight="1" x14ac:dyDescent="0.2">
      <c r="A11" s="1" t="s">
        <v>22</v>
      </c>
      <c r="B11" s="154">
        <v>14146</v>
      </c>
      <c r="C11" s="155">
        <v>5.0680892379236102</v>
      </c>
      <c r="D11" s="155">
        <v>7.085541256623773</v>
      </c>
      <c r="E11" s="154">
        <v>36070</v>
      </c>
      <c r="F11" s="155">
        <v>12.922803535409628</v>
      </c>
      <c r="G11" s="155">
        <v>6.580385899595198</v>
      </c>
      <c r="H11" s="154">
        <v>34315</v>
      </c>
      <c r="I11" s="155">
        <v>12.294039459871954</v>
      </c>
      <c r="J11" s="155">
        <v>6.3602268852865462</v>
      </c>
      <c r="K11" s="154">
        <v>1755</v>
      </c>
      <c r="L11" s="155">
        <v>0.62876407553767388</v>
      </c>
      <c r="M11" s="154">
        <v>3349</v>
      </c>
      <c r="N11" s="155">
        <v>1.1998466603849971</v>
      </c>
      <c r="O11" s="154">
        <v>464</v>
      </c>
      <c r="P11" s="155">
        <v>0.16623733962933374</v>
      </c>
      <c r="Q11" s="156">
        <v>279119</v>
      </c>
    </row>
    <row r="12" spans="1:17" ht="13.5" customHeight="1" x14ac:dyDescent="0.2">
      <c r="A12" s="1" t="s">
        <v>23</v>
      </c>
      <c r="B12" s="154">
        <v>15018</v>
      </c>
      <c r="C12" s="155">
        <v>5.0042985384969114</v>
      </c>
      <c r="D12" s="155">
        <v>6.1642867241623156</v>
      </c>
      <c r="E12" s="154">
        <v>37657</v>
      </c>
      <c r="F12" s="155">
        <v>12.548066990556544</v>
      </c>
      <c r="G12" s="155">
        <v>4.3997782090379856</v>
      </c>
      <c r="H12" s="154">
        <v>36502</v>
      </c>
      <c r="I12" s="155">
        <v>12.163197846065671</v>
      </c>
      <c r="J12" s="155">
        <v>6.3733061343435926</v>
      </c>
      <c r="K12" s="154">
        <v>1155</v>
      </c>
      <c r="L12" s="155">
        <v>0.38486914449087312</v>
      </c>
      <c r="M12" s="154">
        <v>3332</v>
      </c>
      <c r="N12" s="155">
        <v>1.1102891683494278</v>
      </c>
      <c r="O12" s="154">
        <v>44</v>
      </c>
      <c r="P12" s="155">
        <v>1.4661681694890403E-2</v>
      </c>
      <c r="Q12" s="156">
        <v>300102</v>
      </c>
    </row>
    <row r="13" spans="1:17" ht="13.5" customHeight="1" x14ac:dyDescent="0.2">
      <c r="A13" s="1" t="s">
        <v>24</v>
      </c>
      <c r="B13" s="154">
        <v>15300</v>
      </c>
      <c r="C13" s="155">
        <v>4.8435961643783578</v>
      </c>
      <c r="D13" s="157">
        <v>1.8777467039552631</v>
      </c>
      <c r="E13" s="154">
        <v>39085</v>
      </c>
      <c r="F13" s="155">
        <v>12.373330463054124</v>
      </c>
      <c r="G13" s="155">
        <v>3.7921236423506866</v>
      </c>
      <c r="H13" s="154">
        <v>38844</v>
      </c>
      <c r="I13" s="155">
        <v>12.297035909092347</v>
      </c>
      <c r="J13" s="155">
        <v>6.4160867897649521</v>
      </c>
      <c r="K13" s="154">
        <v>241</v>
      </c>
      <c r="L13" s="155">
        <v>7.6294553961776743E-2</v>
      </c>
      <c r="M13" s="154">
        <v>3343</v>
      </c>
      <c r="N13" s="155">
        <v>1.0583099331710359</v>
      </c>
      <c r="O13" s="154">
        <v>-660</v>
      </c>
      <c r="P13" s="155">
        <v>-0.20893944238494877</v>
      </c>
      <c r="Q13" s="156">
        <v>315881</v>
      </c>
    </row>
    <row r="14" spans="1:17" ht="13.5" customHeight="1" x14ac:dyDescent="0.2">
      <c r="A14" s="1" t="s">
        <v>25</v>
      </c>
      <c r="B14" s="154">
        <v>15902</v>
      </c>
      <c r="C14" s="155">
        <v>4.7843694151768794</v>
      </c>
      <c r="D14" s="155">
        <v>3.9346405228758208</v>
      </c>
      <c r="E14" s="154">
        <v>42652</v>
      </c>
      <c r="F14" s="155">
        <v>12.832532027174206</v>
      </c>
      <c r="G14" s="155">
        <v>9.1262632723551285</v>
      </c>
      <c r="H14" s="154">
        <v>41472</v>
      </c>
      <c r="I14" s="155">
        <v>12.477510274570212</v>
      </c>
      <c r="J14" s="155">
        <v>6.7655236329935198</v>
      </c>
      <c r="K14" s="154">
        <v>1180</v>
      </c>
      <c r="L14" s="155">
        <v>0.35502175260399432</v>
      </c>
      <c r="M14" s="154">
        <v>3949</v>
      </c>
      <c r="N14" s="155">
        <v>1.1881194076552317</v>
      </c>
      <c r="O14" s="154">
        <v>-317</v>
      </c>
      <c r="P14" s="155">
        <v>-9.5374487775818806E-2</v>
      </c>
      <c r="Q14" s="156">
        <v>332374</v>
      </c>
    </row>
    <row r="15" spans="1:17" ht="13.5" customHeight="1" x14ac:dyDescent="0.2">
      <c r="A15" s="1" t="s">
        <v>26</v>
      </c>
      <c r="B15" s="154">
        <v>17697</v>
      </c>
      <c r="C15" s="155">
        <v>5.0133854587175453</v>
      </c>
      <c r="D15" s="155">
        <v>11.287888315935103</v>
      </c>
      <c r="E15" s="154">
        <v>44720</v>
      </c>
      <c r="F15" s="155">
        <v>12.668734684627262</v>
      </c>
      <c r="G15" s="155">
        <v>4.8485416862046327</v>
      </c>
      <c r="H15" s="154">
        <v>44651</v>
      </c>
      <c r="I15" s="155">
        <v>12.64918766554767</v>
      </c>
      <c r="J15" s="155">
        <v>7.6654128086419693</v>
      </c>
      <c r="K15" s="154">
        <v>69</v>
      </c>
      <c r="L15" s="155">
        <v>1.9547019079590361E-2</v>
      </c>
      <c r="M15" s="154">
        <v>4295</v>
      </c>
      <c r="N15" s="155">
        <v>1.2167311151716032</v>
      </c>
      <c r="O15" s="154">
        <v>-1775</v>
      </c>
      <c r="P15" s="155">
        <v>-0.50283998356917237</v>
      </c>
      <c r="Q15" s="156">
        <v>352995</v>
      </c>
    </row>
    <row r="16" spans="1:17" ht="13.5" customHeight="1" x14ac:dyDescent="0.2">
      <c r="A16" s="1" t="s">
        <v>27</v>
      </c>
      <c r="B16" s="154">
        <v>18554</v>
      </c>
      <c r="C16" s="155">
        <v>4.9263202612643706</v>
      </c>
      <c r="D16" s="155">
        <v>4.8426286941289476</v>
      </c>
      <c r="E16" s="154">
        <v>47449</v>
      </c>
      <c r="F16" s="155">
        <v>12.598306029790511</v>
      </c>
      <c r="G16" s="155">
        <v>6.1024150268336408</v>
      </c>
      <c r="H16" s="154">
        <v>47298</v>
      </c>
      <c r="I16" s="155">
        <v>12.558213631415446</v>
      </c>
      <c r="J16" s="155">
        <v>5.9281986965577405</v>
      </c>
      <c r="K16" s="154">
        <v>151</v>
      </c>
      <c r="L16" s="155">
        <v>4.0092398375063058E-2</v>
      </c>
      <c r="M16" s="154">
        <v>4689</v>
      </c>
      <c r="N16" s="155">
        <v>1.2449884502031172</v>
      </c>
      <c r="O16" s="154">
        <v>-1798</v>
      </c>
      <c r="P16" s="155">
        <v>-0.47739160449247275</v>
      </c>
      <c r="Q16" s="156">
        <v>376630</v>
      </c>
    </row>
    <row r="17" spans="1:17" ht="13.5" customHeight="1" x14ac:dyDescent="0.2">
      <c r="A17" s="1" t="s">
        <v>28</v>
      </c>
      <c r="B17" s="154">
        <v>17885</v>
      </c>
      <c r="C17" s="155">
        <v>4.5334374279174572</v>
      </c>
      <c r="D17" s="155">
        <v>-3.6056914950953978</v>
      </c>
      <c r="E17" s="154">
        <v>49684</v>
      </c>
      <c r="F17" s="155">
        <v>12.593754831906681</v>
      </c>
      <c r="G17" s="155">
        <v>4.710320554700842</v>
      </c>
      <c r="H17" s="154">
        <v>51258</v>
      </c>
      <c r="I17" s="155">
        <v>12.992727742812024</v>
      </c>
      <c r="J17" s="155">
        <v>8.3724470379297209</v>
      </c>
      <c r="K17" s="154">
        <v>-1574</v>
      </c>
      <c r="L17" s="155">
        <v>-0.39897291090534409</v>
      </c>
      <c r="M17" s="154">
        <v>5264</v>
      </c>
      <c r="N17" s="155">
        <v>1.3343033055944924</v>
      </c>
      <c r="O17" s="154">
        <v>-3940</v>
      </c>
      <c r="P17" s="155">
        <v>-0.99869966262201748</v>
      </c>
      <c r="Q17" s="156">
        <v>394513</v>
      </c>
    </row>
    <row r="18" spans="1:17" ht="13.5" customHeight="1" x14ac:dyDescent="0.2">
      <c r="A18" s="1" t="s">
        <v>29</v>
      </c>
      <c r="B18" s="154">
        <v>19129</v>
      </c>
      <c r="C18" s="155">
        <v>4.628323530194554</v>
      </c>
      <c r="D18" s="155">
        <v>6.9555493430248916</v>
      </c>
      <c r="E18" s="154">
        <v>56344</v>
      </c>
      <c r="F18" s="155">
        <v>13.632613361141827</v>
      </c>
      <c r="G18" s="155">
        <v>13.404717816600908</v>
      </c>
      <c r="H18" s="154">
        <v>56453</v>
      </c>
      <c r="I18" s="155">
        <v>13.65898626431456</v>
      </c>
      <c r="J18" s="155">
        <v>10.135003316555458</v>
      </c>
      <c r="K18" s="154">
        <v>-109</v>
      </c>
      <c r="L18" s="155">
        <v>-2.6372903172732838E-2</v>
      </c>
      <c r="M18" s="154">
        <v>7286</v>
      </c>
      <c r="N18" s="155">
        <v>1.7628713074911144</v>
      </c>
      <c r="O18" s="154">
        <v>-3736</v>
      </c>
      <c r="P18" s="155">
        <v>-0.90393730507642089</v>
      </c>
      <c r="Q18" s="156">
        <v>413303</v>
      </c>
    </row>
    <row r="19" spans="1:17" ht="13.5" customHeight="1" x14ac:dyDescent="0.2">
      <c r="A19" s="1" t="s">
        <v>30</v>
      </c>
      <c r="B19" s="154">
        <v>20395</v>
      </c>
      <c r="C19" s="155">
        <v>4.5885388895263421</v>
      </c>
      <c r="D19" s="155">
        <v>6.6182236395002425</v>
      </c>
      <c r="E19" s="154">
        <v>57168</v>
      </c>
      <c r="F19" s="155">
        <v>12.861857868911104</v>
      </c>
      <c r="G19" s="155">
        <v>1.4624449808320339</v>
      </c>
      <c r="H19" s="154">
        <v>57015</v>
      </c>
      <c r="I19" s="155">
        <v>12.827435390357655</v>
      </c>
      <c r="J19" s="155">
        <v>0.99551839583369439</v>
      </c>
      <c r="K19" s="154">
        <v>153</v>
      </c>
      <c r="L19" s="155">
        <v>3.4422478553445962E-2</v>
      </c>
      <c r="M19" s="154">
        <v>7046</v>
      </c>
      <c r="N19" s="155">
        <v>1.5852338816181712</v>
      </c>
      <c r="O19" s="154">
        <v>-4097</v>
      </c>
      <c r="P19" s="155">
        <v>-0.9217574812644973</v>
      </c>
      <c r="Q19" s="156">
        <v>444477</v>
      </c>
    </row>
    <row r="20" spans="1:17" ht="13.5" customHeight="1" x14ac:dyDescent="0.2">
      <c r="A20" s="1" t="s">
        <v>31</v>
      </c>
      <c r="B20" s="154">
        <v>20660</v>
      </c>
      <c r="C20" s="155">
        <v>4.4451903298821787</v>
      </c>
      <c r="D20" s="155">
        <v>1.2993380730571324</v>
      </c>
      <c r="E20" s="154">
        <v>59003</v>
      </c>
      <c r="F20" s="155">
        <v>12.695041869992169</v>
      </c>
      <c r="G20" s="155">
        <v>3.2098376714245758</v>
      </c>
      <c r="H20" s="154">
        <v>59604</v>
      </c>
      <c r="I20" s="155">
        <v>12.824352585783997</v>
      </c>
      <c r="J20" s="155">
        <v>4.5409102867666418</v>
      </c>
      <c r="K20" s="154">
        <v>-551</v>
      </c>
      <c r="L20" s="155">
        <v>-0.11855275274758376</v>
      </c>
      <c r="M20" s="154">
        <v>5881</v>
      </c>
      <c r="N20" s="155">
        <v>1.265351613264138</v>
      </c>
      <c r="O20" s="154">
        <v>-3255</v>
      </c>
      <c r="P20" s="155">
        <v>-0.70034339418037239</v>
      </c>
      <c r="Q20" s="156">
        <v>464772</v>
      </c>
    </row>
    <row r="21" spans="1:17" ht="13.5" customHeight="1" x14ac:dyDescent="0.2">
      <c r="A21" s="1" t="s">
        <v>32</v>
      </c>
      <c r="B21" s="154">
        <v>21980</v>
      </c>
      <c r="C21" s="155">
        <v>4.5805599203090939</v>
      </c>
      <c r="D21" s="155">
        <v>6.3891577928363974</v>
      </c>
      <c r="E21" s="154">
        <v>60130</v>
      </c>
      <c r="F21" s="155">
        <v>12.530894813839211</v>
      </c>
      <c r="G21" s="155">
        <v>1.9100723692015764</v>
      </c>
      <c r="H21" s="154">
        <v>61891</v>
      </c>
      <c r="I21" s="155">
        <v>12.897881438937677</v>
      </c>
      <c r="J21" s="155">
        <v>3.8369908059861846</v>
      </c>
      <c r="K21" s="154">
        <v>-1731</v>
      </c>
      <c r="L21" s="155">
        <v>-0.36073472347839136</v>
      </c>
      <c r="M21" s="154">
        <v>7872</v>
      </c>
      <c r="N21" s="155">
        <v>1.6404989851079705</v>
      </c>
      <c r="O21" s="154">
        <v>-4138</v>
      </c>
      <c r="P21" s="155">
        <v>-0.86234563012916421</v>
      </c>
      <c r="Q21" s="156">
        <v>479854</v>
      </c>
    </row>
    <row r="22" spans="1:17" ht="13.5" customHeight="1" x14ac:dyDescent="0.2">
      <c r="A22" s="3" t="s">
        <v>33</v>
      </c>
      <c r="B22" s="158">
        <v>24295</v>
      </c>
      <c r="C22" s="159">
        <v>4.9050783056028324</v>
      </c>
      <c r="D22" s="159">
        <v>10.532302092811641</v>
      </c>
      <c r="E22" s="158">
        <v>66005</v>
      </c>
      <c r="F22" s="159">
        <v>13.326186193097964</v>
      </c>
      <c r="G22" s="159">
        <v>9.7704972559454539</v>
      </c>
      <c r="H22" s="158">
        <v>64757</v>
      </c>
      <c r="I22" s="159">
        <v>13.074219215308608</v>
      </c>
      <c r="J22" s="159">
        <v>4.6307217527588929</v>
      </c>
      <c r="K22" s="158">
        <v>1247</v>
      </c>
      <c r="L22" s="159">
        <v>0.25176508117253477</v>
      </c>
      <c r="M22" s="158">
        <v>8546</v>
      </c>
      <c r="N22" s="159">
        <v>1.725408487329978</v>
      </c>
      <c r="O22" s="158">
        <v>-1236</v>
      </c>
      <c r="P22" s="159">
        <v>-0.24954421838753246</v>
      </c>
      <c r="Q22" s="160">
        <v>495303</v>
      </c>
    </row>
    <row r="23" spans="1:17" ht="13.5" customHeight="1" x14ac:dyDescent="0.2">
      <c r="A23" s="3" t="s">
        <v>34</v>
      </c>
      <c r="B23" s="158">
        <v>26067</v>
      </c>
      <c r="C23" s="159">
        <v>5.0760521801105689</v>
      </c>
      <c r="D23" s="159">
        <v>7.2936818275365356</v>
      </c>
      <c r="E23" s="158">
        <v>69617</v>
      </c>
      <c r="F23" s="159">
        <v>13.55658589875158</v>
      </c>
      <c r="G23" s="159">
        <v>5.4723127035830599</v>
      </c>
      <c r="H23" s="158">
        <v>66736</v>
      </c>
      <c r="I23" s="159">
        <v>12.995565975826098</v>
      </c>
      <c r="J23" s="159">
        <v>3.0560402736383718</v>
      </c>
      <c r="K23" s="158">
        <v>2881</v>
      </c>
      <c r="L23" s="159">
        <v>0.56101992292548231</v>
      </c>
      <c r="M23" s="158">
        <v>9484</v>
      </c>
      <c r="N23" s="159">
        <v>1.8468285140663916</v>
      </c>
      <c r="O23" s="158">
        <v>-126</v>
      </c>
      <c r="P23" s="159">
        <v>-2.4536102148077325E-2</v>
      </c>
      <c r="Q23" s="160">
        <v>513529</v>
      </c>
    </row>
    <row r="24" spans="1:17" ht="13.5" customHeight="1" x14ac:dyDescent="0.2">
      <c r="A24" s="143" t="s">
        <v>35</v>
      </c>
      <c r="B24" s="161">
        <v>29087.564857000001</v>
      </c>
      <c r="C24" s="162">
        <v>5.4014601053270761</v>
      </c>
      <c r="D24" s="162">
        <v>11.587696539686188</v>
      </c>
      <c r="E24" s="163">
        <v>74531.899519472907</v>
      </c>
      <c r="F24" s="162">
        <v>13.840315743440346</v>
      </c>
      <c r="G24" s="162">
        <v>7.0599128366245489</v>
      </c>
      <c r="H24" s="163">
        <v>69867.410818942793</v>
      </c>
      <c r="I24" s="162">
        <v>12.974136338202197</v>
      </c>
      <c r="J24" s="162">
        <v>4.6922363026594249</v>
      </c>
      <c r="K24" s="163">
        <v>4664.4887005299997</v>
      </c>
      <c r="L24" s="162">
        <v>0.86617940523812786</v>
      </c>
      <c r="M24" s="163">
        <v>9351.3639987299994</v>
      </c>
      <c r="N24" s="162">
        <v>1.7365159241708183</v>
      </c>
      <c r="O24" s="163">
        <v>391.73518065004703</v>
      </c>
      <c r="P24" s="162">
        <v>7.2743867028288459E-2</v>
      </c>
      <c r="Q24" s="161">
        <v>538513</v>
      </c>
    </row>
    <row r="25" spans="1:17" ht="13.5" customHeight="1" x14ac:dyDescent="0.2">
      <c r="A25" s="143" t="s">
        <v>169</v>
      </c>
      <c r="B25" s="161">
        <v>30788.644</v>
      </c>
      <c r="C25" s="162">
        <v>5.3386145000312117</v>
      </c>
      <c r="D25" s="162">
        <v>5.8481318438405872</v>
      </c>
      <c r="E25" s="163">
        <v>78139.167000000001</v>
      </c>
      <c r="F25" s="162">
        <v>13.548985462515345</v>
      </c>
      <c r="G25" s="162">
        <v>4.8398974181311782</v>
      </c>
      <c r="H25" s="163">
        <v>72551.046000000104</v>
      </c>
      <c r="I25" s="162">
        <v>12.580030032112877</v>
      </c>
      <c r="J25" s="162">
        <v>3.8410399778686433</v>
      </c>
      <c r="K25" s="163">
        <v>5723.9350000000404</v>
      </c>
      <c r="L25" s="162">
        <v>0.99250497645288849</v>
      </c>
      <c r="M25" s="163">
        <v>10546.352999999999</v>
      </c>
      <c r="N25" s="162">
        <v>1.8286908981196983</v>
      </c>
      <c r="O25" s="163">
        <v>3038.9490000002597</v>
      </c>
      <c r="P25" s="162">
        <v>0.52694029643711282</v>
      </c>
      <c r="Q25" s="161">
        <v>576716</v>
      </c>
    </row>
    <row r="26" spans="1:17" ht="13.5" customHeight="1" x14ac:dyDescent="0.2">
      <c r="A26" s="143" t="s">
        <v>177</v>
      </c>
      <c r="B26" s="170">
        <v>31326</v>
      </c>
      <c r="C26" s="171">
        <v>5.1829913964262078</v>
      </c>
      <c r="D26" s="171">
        <v>1.7453058341900363</v>
      </c>
      <c r="E26" s="172">
        <v>80672.394564033995</v>
      </c>
      <c r="F26" s="171">
        <v>13.347517300468894</v>
      </c>
      <c r="G26" s="171">
        <v>3.2419433957287858</v>
      </c>
      <c r="H26" s="172">
        <v>76248</v>
      </c>
      <c r="I26" s="171">
        <v>12.615486432825943</v>
      </c>
      <c r="J26" s="171">
        <v>5.0956591308137567</v>
      </c>
      <c r="K26" s="172">
        <v>4425</v>
      </c>
      <c r="L26" s="171">
        <v>0.73213103904698873</v>
      </c>
      <c r="M26" s="172">
        <v>12121.065581139999</v>
      </c>
      <c r="N26" s="171">
        <v>2.0054708109099932</v>
      </c>
      <c r="O26" s="172">
        <v>-2580</v>
      </c>
      <c r="P26" s="171">
        <v>-0.42686962276637991</v>
      </c>
      <c r="Q26" s="170">
        <v>604400</v>
      </c>
    </row>
    <row r="27" spans="1:17" s="3" customFormat="1" ht="13.5" customHeight="1" x14ac:dyDescent="0.2">
      <c r="A27" s="180" t="s">
        <v>0</v>
      </c>
      <c r="B27" s="170">
        <v>31025.90348162</v>
      </c>
      <c r="C27" s="171">
        <v>4.9609695365558046</v>
      </c>
      <c r="D27" s="171">
        <v>-0.957979053757263</v>
      </c>
      <c r="E27" s="172">
        <v>81655</v>
      </c>
      <c r="F27" s="171">
        <v>13.056443875919413</v>
      </c>
      <c r="G27" s="171">
        <v>1.2180194244588272</v>
      </c>
      <c r="H27" s="172">
        <v>80450</v>
      </c>
      <c r="I27" s="171">
        <v>12.86376718899904</v>
      </c>
      <c r="J27" s="171">
        <v>5.5109642220123822</v>
      </c>
      <c r="K27" s="172">
        <v>1206</v>
      </c>
      <c r="L27" s="171">
        <v>0.19283658458586506</v>
      </c>
      <c r="M27" s="172">
        <v>16622.816443531599</v>
      </c>
      <c r="N27" s="171">
        <v>2.657949543257371</v>
      </c>
      <c r="O27" s="172">
        <v>-9279.5027577640703</v>
      </c>
      <c r="P27" s="171">
        <v>-1.4837708279123873</v>
      </c>
      <c r="Q27" s="170">
        <v>625400</v>
      </c>
    </row>
    <row r="28" spans="1:17" ht="13.5" customHeight="1" x14ac:dyDescent="0.2">
      <c r="A28" s="180" t="s">
        <v>181</v>
      </c>
      <c r="B28" s="170">
        <v>29941.1517864296</v>
      </c>
      <c r="C28" s="171">
        <v>4.7578502759303349</v>
      </c>
      <c r="D28" s="171">
        <v>-3.4962775405815827</v>
      </c>
      <c r="E28" s="172">
        <v>81366.763347118889</v>
      </c>
      <c r="F28" s="171">
        <v>12.929725623251054</v>
      </c>
      <c r="G28" s="171">
        <v>-0.35299326787228136</v>
      </c>
      <c r="H28" s="172">
        <v>88282.707413953598</v>
      </c>
      <c r="I28" s="171">
        <v>14.02871562274807</v>
      </c>
      <c r="J28" s="171">
        <v>9.7361186003152245</v>
      </c>
      <c r="K28" s="172">
        <v>-6915.9440668342695</v>
      </c>
      <c r="L28" s="171">
        <v>-1.0989899994969441</v>
      </c>
      <c r="M28" s="172">
        <v>20985.111912620603</v>
      </c>
      <c r="N28" s="171">
        <v>3.3346753396822826</v>
      </c>
      <c r="O28" s="172">
        <v>-22060.6774163968</v>
      </c>
      <c r="P28" s="171">
        <v>-3.5055899279194023</v>
      </c>
      <c r="Q28" s="170">
        <v>629300</v>
      </c>
    </row>
    <row r="29" spans="1:17" ht="13.5" customHeight="1" x14ac:dyDescent="0.2">
      <c r="A29" s="142" t="s">
        <v>182</v>
      </c>
      <c r="B29" s="164">
        <v>33981.488481320303</v>
      </c>
      <c r="C29" s="165">
        <v>5.2749904503757064</v>
      </c>
      <c r="D29" s="165">
        <v>13.494259418309774</v>
      </c>
      <c r="E29" s="166">
        <v>87626.490928389292</v>
      </c>
      <c r="F29" s="165">
        <v>13.602373630609948</v>
      </c>
      <c r="G29" s="165">
        <v>5.2023378295769529</v>
      </c>
      <c r="H29" s="166">
        <v>95491.122632378494</v>
      </c>
      <c r="I29" s="165">
        <v>14.823210591800448</v>
      </c>
      <c r="J29" s="165">
        <v>5.6633478817125438</v>
      </c>
      <c r="K29" s="166">
        <v>-7864.6317039891701</v>
      </c>
      <c r="L29" s="165">
        <v>-1.2208369611904952</v>
      </c>
      <c r="M29" s="166">
        <v>20168.963904530399</v>
      </c>
      <c r="N29" s="165">
        <v>3.1308543782257683</v>
      </c>
      <c r="O29" s="166">
        <v>-22350.324012380101</v>
      </c>
      <c r="P29" s="165">
        <v>-3.4694697318193266</v>
      </c>
      <c r="Q29" s="164">
        <v>644200</v>
      </c>
    </row>
    <row r="30" spans="1:17" ht="13.5" customHeight="1" x14ac:dyDescent="0.2">
      <c r="A30" s="142" t="s">
        <v>36</v>
      </c>
      <c r="B30" s="167">
        <v>36201.394141900004</v>
      </c>
      <c r="C30" s="168">
        <v>5.3229516456256443</v>
      </c>
      <c r="D30" s="168">
        <v>6.5326910614877498</v>
      </c>
      <c r="E30" s="169">
        <v>93845.674521998793</v>
      </c>
      <c r="F30" s="168">
        <v>13.798805252462696</v>
      </c>
      <c r="G30" s="168">
        <v>1.4440981198363012</v>
      </c>
      <c r="H30" s="169">
        <v>102449.648270739</v>
      </c>
      <c r="I30" s="168">
        <v>15.06390946489325</v>
      </c>
      <c r="J30" s="168">
        <v>1.6237971632538706</v>
      </c>
      <c r="K30" s="169">
        <v>-8603.9737487397397</v>
      </c>
      <c r="L30" s="168">
        <v>-1.2651042124304865</v>
      </c>
      <c r="M30" s="169">
        <v>23228.538168756302</v>
      </c>
      <c r="N30" s="168">
        <v>3.4154592219903397</v>
      </c>
      <c r="O30" s="169">
        <v>-23929.145678207598</v>
      </c>
      <c r="P30" s="168">
        <v>-3.5184745887674751</v>
      </c>
      <c r="Q30" s="167">
        <v>680100</v>
      </c>
    </row>
    <row r="31" spans="1:17" ht="13.5" customHeight="1" x14ac:dyDescent="0.2">
      <c r="A31" s="142" t="s">
        <v>170</v>
      </c>
      <c r="B31" s="167">
        <v>37910.147140809997</v>
      </c>
      <c r="C31" s="168">
        <v>5.4367054554438541</v>
      </c>
      <c r="D31" s="168">
        <v>4.7201303690463714</v>
      </c>
      <c r="E31" s="169">
        <v>96792.319707514602</v>
      </c>
      <c r="F31" s="168">
        <v>13.881015302956346</v>
      </c>
      <c r="G31" s="168">
        <v>0.59577658347615969</v>
      </c>
      <c r="H31" s="169">
        <v>98547.437813841796</v>
      </c>
      <c r="I31" s="168">
        <v>14.132717311607887</v>
      </c>
      <c r="J31" s="168">
        <v>-6.1816101288681091</v>
      </c>
      <c r="K31" s="169">
        <v>-1755.11810632725</v>
      </c>
      <c r="L31" s="168">
        <v>-0.25170200865154885</v>
      </c>
      <c r="M31" s="169">
        <v>22972.317373306498</v>
      </c>
      <c r="N31" s="168">
        <v>3.2944668540522728</v>
      </c>
      <c r="O31" s="169">
        <v>-16877.2144768332</v>
      </c>
      <c r="P31" s="168">
        <v>-2.4203663382809695</v>
      </c>
      <c r="Q31" s="167">
        <v>697300</v>
      </c>
    </row>
    <row r="32" spans="1:17" ht="13.5" customHeight="1" x14ac:dyDescent="0.2">
      <c r="A32" s="142" t="s">
        <v>176</v>
      </c>
      <c r="B32" s="167">
        <v>38248.802496870005</v>
      </c>
      <c r="C32" s="168">
        <v>5.2749693141456353</v>
      </c>
      <c r="D32" s="168">
        <v>0.89331058199837443</v>
      </c>
      <c r="E32" s="169">
        <v>98479.132391346502</v>
      </c>
      <c r="F32" s="168">
        <v>13.581455301523446</v>
      </c>
      <c r="G32" s="168">
        <v>-2.1580554080154357</v>
      </c>
      <c r="H32" s="169">
        <v>98785.34139395559</v>
      </c>
      <c r="I32" s="168">
        <v>13.6236852012075</v>
      </c>
      <c r="J32" s="168">
        <v>-3.6017992801872123</v>
      </c>
      <c r="K32" s="169">
        <v>-306.20900260889204</v>
      </c>
      <c r="L32" s="168">
        <v>-4.2229899684028689E-2</v>
      </c>
      <c r="M32" s="169">
        <v>20569.8605702887</v>
      </c>
      <c r="N32" s="168">
        <v>2.8368308606107706</v>
      </c>
      <c r="O32" s="169">
        <v>-12052.4449846105</v>
      </c>
      <c r="P32" s="168">
        <v>-1.6621769389891738</v>
      </c>
      <c r="Q32" s="167">
        <v>725100</v>
      </c>
    </row>
    <row r="33" spans="1:17" ht="13.5" customHeight="1" x14ac:dyDescent="0.2">
      <c r="A33" s="142" t="s">
        <v>180</v>
      </c>
      <c r="B33" s="167">
        <v>38500.74951586</v>
      </c>
      <c r="C33" s="168">
        <v>5.0792545535435361</v>
      </c>
      <c r="D33" s="168">
        <v>0.65870563924350645</v>
      </c>
      <c r="E33" s="169">
        <v>100328.227457197</v>
      </c>
      <c r="F33" s="168">
        <v>13.235913912558972</v>
      </c>
      <c r="G33" s="168">
        <v>-2.5442147493995981</v>
      </c>
      <c r="H33" s="169">
        <v>99862.490001453203</v>
      </c>
      <c r="I33" s="168">
        <v>13.174470976445013</v>
      </c>
      <c r="J33" s="168">
        <v>-3.2973033223248072</v>
      </c>
      <c r="K33" s="169">
        <v>465.73745574295197</v>
      </c>
      <c r="L33" s="168">
        <v>6.1442936113845908E-2</v>
      </c>
      <c r="M33" s="169">
        <v>18856.754434339098</v>
      </c>
      <c r="N33" s="168">
        <v>2.4876984741872161</v>
      </c>
      <c r="O33" s="169">
        <v>-7673.14297153183</v>
      </c>
      <c r="P33" s="168">
        <v>-1.01228799096726</v>
      </c>
      <c r="Q33" s="167">
        <v>758000</v>
      </c>
    </row>
    <row r="34" spans="1:17" x14ac:dyDescent="0.2">
      <c r="F34" s="183"/>
    </row>
    <row r="35" spans="1:17" x14ac:dyDescent="0.2">
      <c r="A35" s="1" t="s">
        <v>186</v>
      </c>
      <c r="B35" s="7"/>
    </row>
    <row r="36" spans="1:17" x14ac:dyDescent="0.2">
      <c r="A36" s="1" t="s">
        <v>187</v>
      </c>
      <c r="B36" s="7"/>
    </row>
    <row r="37" spans="1:17" x14ac:dyDescent="0.2">
      <c r="A37" s="1" t="s">
        <v>188</v>
      </c>
      <c r="B37" s="7"/>
      <c r="F37" s="183"/>
    </row>
    <row r="38" spans="1:17" x14ac:dyDescent="0.2">
      <c r="A38" s="1" t="s">
        <v>189</v>
      </c>
      <c r="B38" s="7"/>
    </row>
    <row r="39" spans="1:17" x14ac:dyDescent="0.2">
      <c r="A39" s="1" t="s">
        <v>190</v>
      </c>
      <c r="B39" s="7"/>
    </row>
    <row r="40" spans="1:17" x14ac:dyDescent="0.2">
      <c r="B40" s="7"/>
      <c r="F40" s="183"/>
    </row>
    <row r="41" spans="1:17" x14ac:dyDescent="0.2">
      <c r="B41" s="7"/>
    </row>
    <row r="42" spans="1:17" x14ac:dyDescent="0.2">
      <c r="B42" s="7"/>
    </row>
    <row r="43" spans="1:17" x14ac:dyDescent="0.2">
      <c r="B43" s="7"/>
    </row>
    <row r="44" spans="1:17" x14ac:dyDescent="0.2">
      <c r="B44" s="7"/>
    </row>
    <row r="45" spans="1:17" x14ac:dyDescent="0.2">
      <c r="B45" s="7"/>
    </row>
    <row r="46" spans="1:17" x14ac:dyDescent="0.2">
      <c r="B46" s="7"/>
    </row>
    <row r="47" spans="1:17" x14ac:dyDescent="0.2">
      <c r="B47" s="7"/>
    </row>
    <row r="48" spans="1:17" x14ac:dyDescent="0.2">
      <c r="B48" s="7"/>
    </row>
    <row r="49" spans="2:2" x14ac:dyDescent="0.2">
      <c r="B49" s="7"/>
    </row>
    <row r="50" spans="2:2" x14ac:dyDescent="0.2">
      <c r="B50" s="7"/>
    </row>
    <row r="51" spans="2:2" x14ac:dyDescent="0.2">
      <c r="B51" s="7"/>
    </row>
    <row r="52" spans="2:2" x14ac:dyDescent="0.2">
      <c r="B52" s="7"/>
    </row>
    <row r="53" spans="2:2" x14ac:dyDescent="0.2">
      <c r="B53" s="7"/>
    </row>
    <row r="54" spans="2:2" x14ac:dyDescent="0.2">
      <c r="B54" s="7"/>
    </row>
    <row r="55" spans="2:2" x14ac:dyDescent="0.2">
      <c r="B55" s="7"/>
    </row>
    <row r="56" spans="2:2" x14ac:dyDescent="0.2">
      <c r="B56" s="7"/>
    </row>
    <row r="57" spans="2:2" x14ac:dyDescent="0.2">
      <c r="B57" s="7"/>
    </row>
    <row r="58" spans="2:2" x14ac:dyDescent="0.2">
      <c r="B58" s="7"/>
    </row>
    <row r="59" spans="2:2" x14ac:dyDescent="0.2">
      <c r="B59" s="7"/>
    </row>
  </sheetData>
  <mergeCells count="6">
    <mergeCell ref="O3:P3"/>
    <mergeCell ref="B3:D3"/>
    <mergeCell ref="E3:G3"/>
    <mergeCell ref="H3:J3"/>
    <mergeCell ref="K3:L3"/>
    <mergeCell ref="M3:N3"/>
  </mergeCells>
  <phoneticPr fontId="31" type="noConversion"/>
  <pageMargins left="0.7" right="0.7" top="0.75" bottom="0.75" header="0.3" footer="0.3"/>
  <pageSetup paperSize="9" orientation="portrait" horizontalDpi="300" verticalDpi="300" r:id="rId1"/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L41"/>
  <sheetViews>
    <sheetView showGridLines="0" zoomScaleNormal="100" workbookViewId="0"/>
  </sheetViews>
  <sheetFormatPr defaultColWidth="9.1796875" defaultRowHeight="10" outlineLevelRow="1" x14ac:dyDescent="0.2"/>
  <cols>
    <col min="1" max="1" width="12.453125" style="1" customWidth="1"/>
    <col min="2" max="2" width="11.1796875" style="1" customWidth="1"/>
    <col min="3" max="9" width="11.81640625" style="1" customWidth="1"/>
    <col min="10" max="10" width="11.54296875" style="1" bestFit="1" customWidth="1"/>
    <col min="11" max="11" width="13.453125" style="1" bestFit="1" customWidth="1"/>
    <col min="12" max="16384" width="9.1796875" style="1"/>
  </cols>
  <sheetData>
    <row r="1" spans="1:9" ht="10.5" x14ac:dyDescent="0.25">
      <c r="A1" s="197" t="s">
        <v>198</v>
      </c>
    </row>
    <row r="2" spans="1:9" outlineLevel="1" x14ac:dyDescent="0.2"/>
    <row r="3" spans="1:9" ht="19.25" customHeight="1" x14ac:dyDescent="0.25">
      <c r="A3" s="177"/>
      <c r="B3" s="199" t="s">
        <v>173</v>
      </c>
      <c r="C3" s="199"/>
      <c r="D3" s="199" t="s">
        <v>37</v>
      </c>
      <c r="E3" s="199"/>
      <c r="F3" s="199" t="s">
        <v>174</v>
      </c>
      <c r="G3" s="199"/>
      <c r="H3" s="199" t="s">
        <v>175</v>
      </c>
      <c r="I3" s="199"/>
    </row>
    <row r="4" spans="1:9" ht="20" x14ac:dyDescent="0.2">
      <c r="A4" s="178"/>
      <c r="B4" s="176" t="s">
        <v>12</v>
      </c>
      <c r="C4" s="176" t="s">
        <v>13</v>
      </c>
      <c r="D4" s="176" t="s">
        <v>12</v>
      </c>
      <c r="E4" s="176" t="s">
        <v>38</v>
      </c>
      <c r="F4" s="176" t="s">
        <v>12</v>
      </c>
      <c r="G4" s="176" t="s">
        <v>13</v>
      </c>
      <c r="H4" s="176" t="s">
        <v>12</v>
      </c>
      <c r="I4" s="176" t="s">
        <v>13</v>
      </c>
    </row>
    <row r="5" spans="1:9" ht="13.5" customHeight="1" x14ac:dyDescent="0.2">
      <c r="A5" s="1" t="s">
        <v>15</v>
      </c>
      <c r="B5" s="144">
        <v>13604</v>
      </c>
      <c r="C5" s="145">
        <v>6.6873783353324026</v>
      </c>
      <c r="D5" s="144">
        <v>1551</v>
      </c>
      <c r="E5" s="145">
        <v>5.9450343056460575</v>
      </c>
      <c r="F5" s="144">
        <v>11478</v>
      </c>
      <c r="G5" s="145">
        <v>5.6422911300312641</v>
      </c>
      <c r="H5" s="144">
        <v>29860</v>
      </c>
      <c r="I5" s="145">
        <v>14.678412018011286</v>
      </c>
    </row>
    <row r="6" spans="1:9" ht="13.5" customHeight="1" x14ac:dyDescent="0.2">
      <c r="A6" s="1" t="s">
        <v>17</v>
      </c>
      <c r="B6" s="144">
        <v>14795</v>
      </c>
      <c r="C6" s="145">
        <v>6.8911711963483082</v>
      </c>
      <c r="D6" s="144">
        <v>1490</v>
      </c>
      <c r="E6" s="145">
        <v>5.4508871410279855</v>
      </c>
      <c r="F6" s="144">
        <v>10823</v>
      </c>
      <c r="G6" s="145">
        <v>5.0411048231211719</v>
      </c>
      <c r="H6" s="144">
        <v>29441</v>
      </c>
      <c r="I6" s="145">
        <v>13.712941614848972</v>
      </c>
    </row>
    <row r="7" spans="1:9" ht="13.5" customHeight="1" x14ac:dyDescent="0.2">
      <c r="A7" s="1" t="s">
        <v>18</v>
      </c>
      <c r="B7" s="144">
        <v>17680</v>
      </c>
      <c r="C7" s="145">
        <v>7.807773327268472</v>
      </c>
      <c r="D7" s="144">
        <v>1362</v>
      </c>
      <c r="E7" s="145">
        <v>4.704663212435233</v>
      </c>
      <c r="F7" s="144">
        <v>10392</v>
      </c>
      <c r="G7" s="145">
        <v>4.5892749104623283</v>
      </c>
      <c r="H7" s="144">
        <v>28377</v>
      </c>
      <c r="I7" s="145">
        <v>12.53174115994895</v>
      </c>
    </row>
    <row r="8" spans="1:9" ht="13.5" customHeight="1" x14ac:dyDescent="0.2">
      <c r="A8" s="1" t="s">
        <v>19</v>
      </c>
      <c r="B8" s="144">
        <v>15857</v>
      </c>
      <c r="C8" s="145">
        <v>6.5611823948295056</v>
      </c>
      <c r="D8" s="144">
        <v>1348</v>
      </c>
      <c r="E8" s="145">
        <v>4.4115721953135223</v>
      </c>
      <c r="F8" s="144">
        <v>9771</v>
      </c>
      <c r="G8" s="145">
        <v>4.0429660831102412</v>
      </c>
      <c r="H8" s="144">
        <v>24590</v>
      </c>
      <c r="I8" s="145">
        <v>10.174653155632058</v>
      </c>
    </row>
    <row r="9" spans="1:9" ht="13.5" customHeight="1" x14ac:dyDescent="0.2">
      <c r="A9" s="1" t="s">
        <v>20</v>
      </c>
      <c r="B9" s="144">
        <v>12432</v>
      </c>
      <c r="C9" s="145">
        <v>4.8721224614564633</v>
      </c>
      <c r="D9" s="144">
        <v>1021</v>
      </c>
      <c r="E9" s="145">
        <v>3.1815773892991803</v>
      </c>
      <c r="F9" s="144">
        <v>6893</v>
      </c>
      <c r="G9" s="145">
        <v>2.7013787103297462</v>
      </c>
      <c r="H9" s="144">
        <v>23651</v>
      </c>
      <c r="I9" s="145">
        <v>9.2688681093876131</v>
      </c>
    </row>
    <row r="10" spans="1:9" ht="13.5" customHeight="1" x14ac:dyDescent="0.2">
      <c r="A10" s="1" t="s">
        <v>21</v>
      </c>
      <c r="B10" s="144">
        <v>11211</v>
      </c>
      <c r="C10" s="145">
        <v>4.2370895567515268</v>
      </c>
      <c r="D10" s="144">
        <v>868</v>
      </c>
      <c r="E10" s="145">
        <v>2.5647844458233608</v>
      </c>
      <c r="F10" s="144">
        <v>5422</v>
      </c>
      <c r="G10" s="145">
        <v>2.0491927193565944</v>
      </c>
      <c r="H10" s="144">
        <v>24502</v>
      </c>
      <c r="I10" s="145">
        <v>9.2602950958456791</v>
      </c>
    </row>
    <row r="11" spans="1:9" ht="13.5" customHeight="1" x14ac:dyDescent="0.2">
      <c r="A11" s="1" t="s">
        <v>22</v>
      </c>
      <c r="B11" s="144">
        <v>10570</v>
      </c>
      <c r="C11" s="145">
        <v>3.7869152583665029</v>
      </c>
      <c r="D11" s="144">
        <v>803</v>
      </c>
      <c r="E11" s="145">
        <v>2.2262267812586636</v>
      </c>
      <c r="F11" s="144">
        <v>3638</v>
      </c>
      <c r="G11" s="145">
        <v>1.3033867275248192</v>
      </c>
      <c r="H11" s="144">
        <v>25418</v>
      </c>
      <c r="I11" s="145">
        <v>9.1065101265051815</v>
      </c>
    </row>
    <row r="12" spans="1:9" ht="13.5" customHeight="1" x14ac:dyDescent="0.2">
      <c r="A12" s="1" t="s">
        <v>23</v>
      </c>
      <c r="B12" s="144">
        <v>11189</v>
      </c>
      <c r="C12" s="145">
        <v>3.7283990110029261</v>
      </c>
      <c r="D12" s="144">
        <v>789</v>
      </c>
      <c r="E12" s="145">
        <v>2.0952279788618315</v>
      </c>
      <c r="F12" s="144">
        <v>2970</v>
      </c>
      <c r="G12" s="145">
        <v>0.98966351440510225</v>
      </c>
      <c r="H12" s="144">
        <v>25072</v>
      </c>
      <c r="I12" s="145">
        <v>8.3544928057793673</v>
      </c>
    </row>
    <row r="13" spans="1:9" ht="13.5" customHeight="1" x14ac:dyDescent="0.2">
      <c r="A13" s="1" t="s">
        <v>24</v>
      </c>
      <c r="B13" s="144">
        <v>11872</v>
      </c>
      <c r="C13" s="145">
        <v>3.7583773636274422</v>
      </c>
      <c r="D13" s="144">
        <v>1190</v>
      </c>
      <c r="E13" s="145">
        <v>3.0446462837405655</v>
      </c>
      <c r="F13" s="144">
        <v>2826</v>
      </c>
      <c r="G13" s="145">
        <v>0.89464070330282608</v>
      </c>
      <c r="H13" s="144">
        <v>31363</v>
      </c>
      <c r="I13" s="145">
        <v>9.9287389871502256</v>
      </c>
    </row>
    <row r="14" spans="1:9" ht="13.5" customHeight="1" x14ac:dyDescent="0.2">
      <c r="A14" s="1" t="s">
        <v>25</v>
      </c>
      <c r="B14" s="144">
        <v>12404</v>
      </c>
      <c r="C14" s="145">
        <v>3.731940524830462</v>
      </c>
      <c r="D14" s="144">
        <v>1209</v>
      </c>
      <c r="E14" s="145">
        <v>2.8345681327956487</v>
      </c>
      <c r="F14" s="144">
        <v>1483</v>
      </c>
      <c r="G14" s="145">
        <v>0.44618411789129114</v>
      </c>
      <c r="H14" s="144">
        <v>32066</v>
      </c>
      <c r="I14" s="145">
        <v>9.6475656940675272</v>
      </c>
    </row>
    <row r="15" spans="1:9" ht="13.5" customHeight="1" x14ac:dyDescent="0.2">
      <c r="A15" s="1" t="s">
        <v>26</v>
      </c>
      <c r="B15" s="144">
        <v>13060</v>
      </c>
      <c r="C15" s="145">
        <v>3.6997691185427555</v>
      </c>
      <c r="D15" s="144">
        <v>1289</v>
      </c>
      <c r="E15" s="145">
        <v>2.8823792486583186</v>
      </c>
      <c r="F15" s="144">
        <v>3645</v>
      </c>
      <c r="G15" s="145">
        <v>1.0325925296392302</v>
      </c>
      <c r="H15" s="144">
        <v>28820</v>
      </c>
      <c r="I15" s="145">
        <v>8.1644215923738308</v>
      </c>
    </row>
    <row r="16" spans="1:9" ht="13.5" customHeight="1" x14ac:dyDescent="0.2">
      <c r="A16" s="1" t="s">
        <v>27</v>
      </c>
      <c r="B16" s="144">
        <v>13874</v>
      </c>
      <c r="C16" s="145">
        <v>3.6837214242094367</v>
      </c>
      <c r="D16" s="144">
        <v>1320</v>
      </c>
      <c r="E16" s="145">
        <v>2.7819342873400914</v>
      </c>
      <c r="F16" s="144">
        <v>5663</v>
      </c>
      <c r="G16" s="145">
        <v>1.503597695350875</v>
      </c>
      <c r="H16" s="144">
        <v>34079</v>
      </c>
      <c r="I16" s="145">
        <v>9.0484029418792975</v>
      </c>
    </row>
    <row r="17" spans="1:12" ht="13.5" customHeight="1" x14ac:dyDescent="0.2">
      <c r="A17" s="1" t="s">
        <v>28</v>
      </c>
      <c r="B17" s="144">
        <v>16662</v>
      </c>
      <c r="C17" s="145">
        <v>4.2234349691898618</v>
      </c>
      <c r="D17" s="144">
        <v>1488</v>
      </c>
      <c r="E17" s="145">
        <v>2.9949279446099348</v>
      </c>
      <c r="F17" s="144">
        <v>8170</v>
      </c>
      <c r="G17" s="145">
        <v>2.0709076760461631</v>
      </c>
      <c r="H17" s="144">
        <v>53212</v>
      </c>
      <c r="I17" s="145">
        <v>13.488021940975328</v>
      </c>
    </row>
    <row r="18" spans="1:12" ht="13.5" customHeight="1" x14ac:dyDescent="0.2">
      <c r="A18" s="1" t="s">
        <v>29</v>
      </c>
      <c r="B18" s="144">
        <v>19075</v>
      </c>
      <c r="C18" s="145">
        <v>4.6152580552282467</v>
      </c>
      <c r="D18" s="144">
        <v>1674</v>
      </c>
      <c r="E18" s="145">
        <v>2.9710350702825501</v>
      </c>
      <c r="F18" s="144">
        <v>9161</v>
      </c>
      <c r="G18" s="145">
        <v>2.2165336327101421</v>
      </c>
      <c r="H18" s="144">
        <v>57716</v>
      </c>
      <c r="I18" s="145">
        <v>13.964573206582095</v>
      </c>
    </row>
    <row r="19" spans="1:12" ht="13.5" customHeight="1" x14ac:dyDescent="0.2">
      <c r="A19" s="1" t="s">
        <v>30</v>
      </c>
      <c r="B19" s="144">
        <v>22530</v>
      </c>
      <c r="C19" s="145">
        <v>5.0688787046348853</v>
      </c>
      <c r="D19" s="144">
        <v>1877</v>
      </c>
      <c r="E19" s="145">
        <v>3.2833053456479147</v>
      </c>
      <c r="F19" s="144">
        <v>7960</v>
      </c>
      <c r="G19" s="145">
        <v>1.7908688188590185</v>
      </c>
      <c r="H19" s="144">
        <v>55932</v>
      </c>
      <c r="I19" s="145">
        <v>12.583778238244047</v>
      </c>
    </row>
    <row r="20" spans="1:12" ht="13.5" customHeight="1" x14ac:dyDescent="0.2">
      <c r="A20" s="1" t="s">
        <v>31</v>
      </c>
      <c r="B20" s="144">
        <v>26885</v>
      </c>
      <c r="C20" s="145">
        <v>5.7845567288907249</v>
      </c>
      <c r="D20" s="144">
        <v>2082</v>
      </c>
      <c r="E20" s="145">
        <v>3.5286341372472587</v>
      </c>
      <c r="F20" s="144">
        <v>14127</v>
      </c>
      <c r="G20" s="145">
        <v>3.0395548785210815</v>
      </c>
      <c r="H20" s="144">
        <v>80497</v>
      </c>
      <c r="I20" s="145">
        <v>17.319675023452362</v>
      </c>
    </row>
    <row r="21" spans="1:12" ht="13.5" customHeight="1" x14ac:dyDescent="0.2">
      <c r="A21" s="1" t="s">
        <v>32</v>
      </c>
      <c r="B21" s="144">
        <v>29060</v>
      </c>
      <c r="C21" s="145">
        <v>6.0560087026470555</v>
      </c>
      <c r="D21" s="144">
        <v>2220</v>
      </c>
      <c r="E21" s="145">
        <v>3.6920006652253452</v>
      </c>
      <c r="F21" s="144">
        <v>11907</v>
      </c>
      <c r="G21" s="145">
        <v>2.4813797530082069</v>
      </c>
      <c r="H21" s="144">
        <v>70437</v>
      </c>
      <c r="I21" s="145">
        <v>14.67883981377669</v>
      </c>
    </row>
    <row r="22" spans="1:12" ht="13.5" customHeight="1" x14ac:dyDescent="0.2">
      <c r="A22" s="1" t="s">
        <v>33</v>
      </c>
      <c r="B22" s="144">
        <v>31040</v>
      </c>
      <c r="C22" s="145">
        <v>6.2668709860428873</v>
      </c>
      <c r="D22" s="144">
        <v>2249</v>
      </c>
      <c r="E22" s="145">
        <v>3.4073176274524655</v>
      </c>
      <c r="F22" s="144">
        <v>6869</v>
      </c>
      <c r="G22" s="145">
        <v>1.3868278609255345</v>
      </c>
      <c r="H22" s="144">
        <v>70715</v>
      </c>
      <c r="I22" s="145">
        <v>14.277119258312588</v>
      </c>
    </row>
    <row r="23" spans="1:12" ht="13.5" customHeight="1" x14ac:dyDescent="0.2">
      <c r="A23" s="1" t="s">
        <v>34</v>
      </c>
      <c r="B23" s="144">
        <v>31511</v>
      </c>
      <c r="C23" s="145">
        <v>6.136167577683052</v>
      </c>
      <c r="D23" s="144">
        <v>2243</v>
      </c>
      <c r="E23" s="145">
        <v>3.2219141876265853</v>
      </c>
      <c r="F23" s="144">
        <v>5461</v>
      </c>
      <c r="G23" s="145">
        <v>1.0634258240527799</v>
      </c>
      <c r="H23" s="144">
        <v>74371</v>
      </c>
      <c r="I23" s="145">
        <v>14.482336927417927</v>
      </c>
    </row>
    <row r="24" spans="1:12" ht="13.5" customHeight="1" x14ac:dyDescent="0.2">
      <c r="A24" s="6" t="s">
        <v>35</v>
      </c>
      <c r="B24" s="147">
        <v>31847.077231029998</v>
      </c>
      <c r="C24" s="146">
        <v>5.9138920009414813</v>
      </c>
      <c r="D24" s="147">
        <v>2209</v>
      </c>
      <c r="E24" s="146">
        <v>2.9638316133655711</v>
      </c>
      <c r="F24" s="147">
        <v>-57</v>
      </c>
      <c r="G24" s="146">
        <v>-1.0584702690557146E-2</v>
      </c>
      <c r="H24" s="147">
        <v>87611</v>
      </c>
      <c r="I24" s="146">
        <v>16.269059428463194</v>
      </c>
      <c r="L24" s="5"/>
    </row>
    <row r="25" spans="1:12" ht="13.5" customHeight="1" x14ac:dyDescent="0.2">
      <c r="A25" s="6" t="s">
        <v>169</v>
      </c>
      <c r="B25" s="148">
        <v>32813.858</v>
      </c>
      <c r="C25" s="146">
        <v>5.6897776375200273</v>
      </c>
      <c r="D25" s="147">
        <v>2148.9270000000001</v>
      </c>
      <c r="E25" s="146">
        <v>2.7501278584144622</v>
      </c>
      <c r="F25" s="147">
        <v>-9343.8880000000008</v>
      </c>
      <c r="G25" s="146">
        <v>-1.6201887930974692</v>
      </c>
      <c r="H25" s="147">
        <v>65689.61</v>
      </c>
      <c r="I25" s="146">
        <v>11.390287420498131</v>
      </c>
      <c r="L25" s="5"/>
    </row>
    <row r="26" spans="1:12" ht="13.5" customHeight="1" x14ac:dyDescent="0.2">
      <c r="A26" s="143" t="s">
        <v>177</v>
      </c>
      <c r="B26" s="148">
        <v>32445.73010981</v>
      </c>
      <c r="C26" s="146">
        <v>5.36825448540867</v>
      </c>
      <c r="D26" s="148">
        <v>1812</v>
      </c>
      <c r="E26" s="146">
        <v>2.2461215014037035</v>
      </c>
      <c r="F26" s="148">
        <v>-11194.992650995</v>
      </c>
      <c r="G26" s="146">
        <v>-1.8522489495359036</v>
      </c>
      <c r="H26" s="148">
        <v>69067.819920386391</v>
      </c>
      <c r="I26" s="146">
        <v>11.427501641361083</v>
      </c>
      <c r="L26" s="5"/>
    </row>
    <row r="27" spans="1:12" ht="13.5" customHeight="1" x14ac:dyDescent="0.2">
      <c r="A27" s="143" t="s">
        <v>0</v>
      </c>
      <c r="B27" s="148">
        <v>37863</v>
      </c>
      <c r="C27" s="151">
        <v>6.0542053086024943</v>
      </c>
      <c r="D27" s="148">
        <v>1811.7872022399999</v>
      </c>
      <c r="E27" s="151">
        <v>2.2188319175065825</v>
      </c>
      <c r="F27" s="148">
        <v>-10401.452084556999</v>
      </c>
      <c r="G27" s="151">
        <v>-1.6631679060692355</v>
      </c>
      <c r="H27" s="148">
        <v>81194</v>
      </c>
      <c r="I27" s="151">
        <v>12.982731052126638</v>
      </c>
      <c r="L27" s="5"/>
    </row>
    <row r="28" spans="1:12" ht="13.5" customHeight="1" x14ac:dyDescent="0.2">
      <c r="A28" s="180" t="s">
        <v>181</v>
      </c>
      <c r="B28" s="181">
        <v>68277.151342434794</v>
      </c>
      <c r="C28" s="182">
        <v>10.849698290550579</v>
      </c>
      <c r="D28" s="181">
        <v>2084.2213263076001</v>
      </c>
      <c r="E28" s="182">
        <v>2.5615143586529303</v>
      </c>
      <c r="F28" s="181">
        <v>19261.075938495</v>
      </c>
      <c r="G28" s="182">
        <v>3.0607144348474495</v>
      </c>
      <c r="H28" s="181">
        <v>111886.560366811</v>
      </c>
      <c r="I28" s="182">
        <v>17.779526516257903</v>
      </c>
      <c r="L28" s="5"/>
    </row>
    <row r="29" spans="1:12" ht="13.5" customHeight="1" x14ac:dyDescent="0.2">
      <c r="A29" s="142" t="s">
        <v>182</v>
      </c>
      <c r="B29" s="149">
        <v>89596.522314162197</v>
      </c>
      <c r="C29" s="152">
        <v>13.908184153083234</v>
      </c>
      <c r="D29" s="149">
        <v>2403.1288403825597</v>
      </c>
      <c r="E29" s="152">
        <v>2.7424684189926776</v>
      </c>
      <c r="F29" s="149">
        <v>40622.079171149802</v>
      </c>
      <c r="G29" s="152">
        <v>6.3058179402592049</v>
      </c>
      <c r="H29" s="149">
        <v>136401.11914942699</v>
      </c>
      <c r="I29" s="152">
        <v>21.173722314409655</v>
      </c>
      <c r="L29" s="5"/>
    </row>
    <row r="30" spans="1:12" ht="13.5" customHeight="1" x14ac:dyDescent="0.2">
      <c r="A30" s="142" t="s">
        <v>36</v>
      </c>
      <c r="B30" s="149">
        <v>117133.42552793001</v>
      </c>
      <c r="C30" s="153">
        <v>17.22297096425967</v>
      </c>
      <c r="D30" s="150">
        <v>2741.2733565100002</v>
      </c>
      <c r="E30" s="152">
        <v>2.9210439058301039</v>
      </c>
      <c r="F30" s="150">
        <v>63258.303807081706</v>
      </c>
      <c r="G30" s="153">
        <v>9.301323894586341</v>
      </c>
      <c r="H30" s="150">
        <v>157542.120464815</v>
      </c>
      <c r="I30" s="153">
        <v>23.164552340069843</v>
      </c>
      <c r="L30" s="5"/>
    </row>
    <row r="31" spans="1:12" ht="13.5" customHeight="1" x14ac:dyDescent="0.2">
      <c r="A31" s="142" t="s">
        <v>170</v>
      </c>
      <c r="B31" s="149">
        <v>136609.22741847002</v>
      </c>
      <c r="C31" s="153">
        <v>19.591169857804392</v>
      </c>
      <c r="D31" s="150">
        <v>3237.87634867</v>
      </c>
      <c r="E31" s="152">
        <v>3.3451789960754734</v>
      </c>
      <c r="F31" s="150">
        <v>80609.255224351495</v>
      </c>
      <c r="G31" s="153">
        <v>11.560197221332496</v>
      </c>
      <c r="H31" s="150">
        <v>171114.30030584399</v>
      </c>
      <c r="I31" s="153">
        <v>24.539552603734975</v>
      </c>
    </row>
    <row r="32" spans="1:12" ht="13.5" customHeight="1" x14ac:dyDescent="0.2">
      <c r="A32" s="142" t="s">
        <v>178</v>
      </c>
      <c r="B32" s="149">
        <v>154925.94288335001</v>
      </c>
      <c r="C32" s="153">
        <v>21.366148515149636</v>
      </c>
      <c r="D32" s="150">
        <v>3872.7167136399999</v>
      </c>
      <c r="E32" s="152">
        <v>3.9325252158499935</v>
      </c>
      <c r="F32" s="150">
        <v>94340.232963804796</v>
      </c>
      <c r="G32" s="153">
        <v>13.010651353441565</v>
      </c>
      <c r="H32" s="150">
        <v>178437.03791474499</v>
      </c>
      <c r="I32" s="153">
        <v>24.608610938456074</v>
      </c>
    </row>
    <row r="33" spans="1:9" ht="13.5" customHeight="1" x14ac:dyDescent="0.2">
      <c r="A33" s="142" t="s">
        <v>183</v>
      </c>
      <c r="B33" s="149">
        <v>171337.07814650002</v>
      </c>
      <c r="C33" s="153">
        <v>22.603836167084435</v>
      </c>
      <c r="D33" s="150">
        <v>4535.0562341499999</v>
      </c>
      <c r="E33" s="152">
        <v>4.5202196321915373</v>
      </c>
      <c r="F33" s="150">
        <v>103862.585450268</v>
      </c>
      <c r="G33" s="153">
        <v>13.702188054125067</v>
      </c>
      <c r="H33" s="150">
        <v>184049.04562108702</v>
      </c>
      <c r="I33" s="153">
        <v>24.280876731014118</v>
      </c>
    </row>
    <row r="35" spans="1:9" x14ac:dyDescent="0.2">
      <c r="A35" s="1" t="s">
        <v>186</v>
      </c>
      <c r="B35" s="147"/>
      <c r="C35" s="146"/>
      <c r="D35" s="147"/>
    </row>
    <row r="36" spans="1:9" x14ac:dyDescent="0.2">
      <c r="A36" s="1" t="s">
        <v>187</v>
      </c>
    </row>
    <row r="37" spans="1:9" x14ac:dyDescent="0.2">
      <c r="A37" s="1" t="s">
        <v>188</v>
      </c>
    </row>
    <row r="38" spans="1:9" x14ac:dyDescent="0.2">
      <c r="A38" s="1" t="s">
        <v>189</v>
      </c>
    </row>
    <row r="39" spans="1:9" x14ac:dyDescent="0.2">
      <c r="A39" s="1" t="s">
        <v>191</v>
      </c>
    </row>
    <row r="40" spans="1:9" x14ac:dyDescent="0.2">
      <c r="A40" s="1" t="s">
        <v>192</v>
      </c>
    </row>
    <row r="41" spans="1:9" x14ac:dyDescent="0.2">
      <c r="A41" s="1" t="s">
        <v>193</v>
      </c>
    </row>
  </sheetData>
  <mergeCells count="4">
    <mergeCell ref="B3:C3"/>
    <mergeCell ref="D3:E3"/>
    <mergeCell ref="F3:G3"/>
    <mergeCell ref="H3:I3"/>
  </mergeCells>
  <pageMargins left="0.7" right="0.7" top="0.75" bottom="0.75" header="0.3" footer="0.3"/>
  <pageSetup paperSize="9" orientation="portrait" horizontalDpi="300" verticalDpi="300" r:id="rId1"/>
  <customProperties>
    <customPr name="SheetOption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2AC3C-24D9-4FA4-9909-534E70F779CB}">
  <sheetPr>
    <tabColor theme="7" tint="0.39997558519241921"/>
  </sheetPr>
  <dimension ref="A1:J59"/>
  <sheetViews>
    <sheetView showGridLines="0" zoomScaleNormal="100" workbookViewId="0"/>
  </sheetViews>
  <sheetFormatPr defaultColWidth="9.1796875" defaultRowHeight="10" x14ac:dyDescent="0.2"/>
  <cols>
    <col min="1" max="1" width="7.453125" style="1" bestFit="1" customWidth="1"/>
    <col min="2" max="2" width="10.453125" style="1" bestFit="1" customWidth="1"/>
    <col min="3" max="3" width="10.1796875" style="1" bestFit="1" customWidth="1"/>
    <col min="4" max="4" width="9.81640625" style="1" bestFit="1" customWidth="1"/>
    <col min="5" max="6" width="13.1796875" style="1" bestFit="1" customWidth="1"/>
    <col min="7" max="7" width="11.453125" style="1" bestFit="1" customWidth="1"/>
    <col min="8" max="8" width="10.81640625" style="1" bestFit="1" customWidth="1"/>
    <col min="9" max="9" width="14.81640625" style="1" bestFit="1" customWidth="1"/>
    <col min="10" max="10" width="17.81640625" style="1" bestFit="1" customWidth="1"/>
    <col min="11" max="11" width="8.81640625" style="1" bestFit="1" customWidth="1"/>
    <col min="12" max="16384" width="9.1796875" style="1"/>
  </cols>
  <sheetData>
    <row r="1" spans="1:10" ht="10.5" x14ac:dyDescent="0.25">
      <c r="A1" s="197" t="s">
        <v>199</v>
      </c>
    </row>
    <row r="3" spans="1:10" ht="13.5" x14ac:dyDescent="0.25">
      <c r="A3" s="177"/>
      <c r="B3" s="185" t="s">
        <v>2</v>
      </c>
      <c r="C3" s="185" t="s">
        <v>3</v>
      </c>
      <c r="D3" s="199" t="s">
        <v>9</v>
      </c>
      <c r="E3" s="199"/>
      <c r="F3" s="199" t="s">
        <v>172</v>
      </c>
      <c r="G3" s="199"/>
      <c r="H3" s="199" t="s">
        <v>10</v>
      </c>
      <c r="I3" s="199"/>
      <c r="J3" s="185" t="s">
        <v>179</v>
      </c>
    </row>
    <row r="4" spans="1:10" s="2" customFormat="1" ht="13.5" customHeight="1" x14ac:dyDescent="0.2">
      <c r="A4" s="175"/>
      <c r="B4" s="179" t="s">
        <v>12</v>
      </c>
      <c r="C4" s="179" t="s">
        <v>12</v>
      </c>
      <c r="D4" s="179" t="s">
        <v>12</v>
      </c>
      <c r="E4" s="179" t="s">
        <v>13</v>
      </c>
      <c r="F4" s="179" t="s">
        <v>12</v>
      </c>
      <c r="G4" s="179" t="s">
        <v>13</v>
      </c>
      <c r="H4" s="179" t="s">
        <v>12</v>
      </c>
      <c r="I4" s="179" t="s">
        <v>13</v>
      </c>
      <c r="J4" s="179" t="s">
        <v>12</v>
      </c>
    </row>
    <row r="5" spans="1:10" ht="13.5" customHeight="1" x14ac:dyDescent="0.2">
      <c r="A5" s="1" t="s">
        <v>15</v>
      </c>
      <c r="B5" s="154" t="s">
        <v>16</v>
      </c>
      <c r="C5" s="154" t="s">
        <v>16</v>
      </c>
      <c r="D5" s="154" t="s">
        <v>16</v>
      </c>
      <c r="E5" s="154" t="s">
        <v>16</v>
      </c>
      <c r="F5" s="154" t="s">
        <v>16</v>
      </c>
      <c r="G5" s="154" t="s">
        <v>16</v>
      </c>
      <c r="H5" s="154" t="s">
        <v>16</v>
      </c>
      <c r="I5" s="154" t="s">
        <v>16</v>
      </c>
      <c r="J5" s="156">
        <v>203428</v>
      </c>
    </row>
    <row r="6" spans="1:10" ht="13.5" customHeight="1" x14ac:dyDescent="0.2">
      <c r="A6" s="1" t="s">
        <v>17</v>
      </c>
      <c r="B6" s="154" t="s">
        <v>16</v>
      </c>
      <c r="C6" s="154" t="s">
        <v>16</v>
      </c>
      <c r="D6" s="154" t="s">
        <v>16</v>
      </c>
      <c r="E6" s="154" t="s">
        <v>16</v>
      </c>
      <c r="F6" s="154" t="s">
        <v>16</v>
      </c>
      <c r="G6" s="154" t="s">
        <v>16</v>
      </c>
      <c r="H6" s="154" t="s">
        <v>16</v>
      </c>
      <c r="I6" s="154" t="s">
        <v>16</v>
      </c>
      <c r="J6" s="156">
        <v>214695</v>
      </c>
    </row>
    <row r="7" spans="1:10" ht="13.5" customHeight="1" x14ac:dyDescent="0.2">
      <c r="A7" s="1" t="s">
        <v>18</v>
      </c>
      <c r="B7" s="154" t="s">
        <v>16</v>
      </c>
      <c r="C7" s="154" t="s">
        <v>16</v>
      </c>
      <c r="D7" s="154" t="s">
        <v>16</v>
      </c>
      <c r="E7" s="154" t="s">
        <v>16</v>
      </c>
      <c r="F7" s="154" t="s">
        <v>16</v>
      </c>
      <c r="G7" s="154" t="s">
        <v>16</v>
      </c>
      <c r="H7" s="154" t="s">
        <v>16</v>
      </c>
      <c r="I7" s="154" t="s">
        <v>16</v>
      </c>
      <c r="J7" s="156">
        <v>226441</v>
      </c>
    </row>
    <row r="8" spans="1:10" ht="13.5" customHeight="1" x14ac:dyDescent="0.2">
      <c r="A8" s="1" t="s">
        <v>19</v>
      </c>
      <c r="B8" s="158">
        <v>40271</v>
      </c>
      <c r="C8" s="158">
        <v>37763</v>
      </c>
      <c r="D8" s="158">
        <v>2508</v>
      </c>
      <c r="E8" s="159">
        <v>1.0377401429168442</v>
      </c>
      <c r="F8" s="158">
        <v>5460</v>
      </c>
      <c r="G8" s="159">
        <v>2.2591950479768621</v>
      </c>
      <c r="H8" s="158">
        <v>523</v>
      </c>
      <c r="I8" s="155">
        <v>0.21640274910108034</v>
      </c>
      <c r="J8" s="156">
        <v>241679</v>
      </c>
    </row>
    <row r="9" spans="1:10" ht="13.5" customHeight="1" x14ac:dyDescent="0.2">
      <c r="A9" s="1" t="s">
        <v>20</v>
      </c>
      <c r="B9" s="158">
        <v>43960</v>
      </c>
      <c r="C9" s="158">
        <v>41731</v>
      </c>
      <c r="D9" s="158">
        <v>2229</v>
      </c>
      <c r="E9" s="159">
        <v>0.8735489837987821</v>
      </c>
      <c r="F9" s="158">
        <v>5365</v>
      </c>
      <c r="G9" s="159">
        <v>2.102552847949962</v>
      </c>
      <c r="H9" s="158">
        <v>1081</v>
      </c>
      <c r="I9" s="155">
        <v>0.42364578352915355</v>
      </c>
      <c r="J9" s="156">
        <v>255166</v>
      </c>
    </row>
    <row r="10" spans="1:10" ht="13.5" customHeight="1" x14ac:dyDescent="0.2">
      <c r="A10" s="1" t="s">
        <v>21</v>
      </c>
      <c r="B10" s="158">
        <v>43666</v>
      </c>
      <c r="C10" s="158">
        <v>41320</v>
      </c>
      <c r="D10" s="158">
        <v>2346</v>
      </c>
      <c r="E10" s="159">
        <v>0.88664812239221147</v>
      </c>
      <c r="F10" s="158">
        <v>6080</v>
      </c>
      <c r="G10" s="159">
        <v>2.2978774868476748</v>
      </c>
      <c r="H10" s="158">
        <v>16</v>
      </c>
      <c r="I10" s="155">
        <v>6.0470460180201968E-3</v>
      </c>
      <c r="J10" s="156">
        <v>264592</v>
      </c>
    </row>
    <row r="11" spans="1:10" ht="13.5" customHeight="1" x14ac:dyDescent="0.2">
      <c r="A11" s="1" t="s">
        <v>22</v>
      </c>
      <c r="B11" s="158">
        <v>45865</v>
      </c>
      <c r="C11" s="158">
        <v>44209</v>
      </c>
      <c r="D11" s="158">
        <v>1656</v>
      </c>
      <c r="E11" s="159">
        <v>0.59329533281503588</v>
      </c>
      <c r="F11" s="158">
        <v>6697</v>
      </c>
      <c r="G11" s="159">
        <v>2.3993350506414828</v>
      </c>
      <c r="H11" s="158">
        <v>-747</v>
      </c>
      <c r="I11" s="155">
        <v>-0.26762778599808684</v>
      </c>
      <c r="J11" s="156">
        <v>279119</v>
      </c>
    </row>
    <row r="12" spans="1:10" ht="13.5" customHeight="1" x14ac:dyDescent="0.2">
      <c r="A12" s="1" t="s">
        <v>23</v>
      </c>
      <c r="B12" s="158">
        <v>47875</v>
      </c>
      <c r="C12" s="158">
        <v>46681</v>
      </c>
      <c r="D12" s="158">
        <v>1194</v>
      </c>
      <c r="E12" s="159">
        <v>0.3978647259931623</v>
      </c>
      <c r="F12" s="158">
        <v>6706</v>
      </c>
      <c r="G12" s="159">
        <v>2.2345735783167058</v>
      </c>
      <c r="H12" s="158">
        <v>-1048</v>
      </c>
      <c r="I12" s="155">
        <v>-0.34921460036920782</v>
      </c>
      <c r="J12" s="156">
        <v>300102</v>
      </c>
    </row>
    <row r="13" spans="1:10" ht="13.5" customHeight="1" x14ac:dyDescent="0.2">
      <c r="A13" s="1" t="s">
        <v>24</v>
      </c>
      <c r="B13" s="158">
        <v>48130</v>
      </c>
      <c r="C13" s="158">
        <v>47841</v>
      </c>
      <c r="D13" s="158">
        <v>289</v>
      </c>
      <c r="E13" s="159">
        <v>9.14901497715912E-2</v>
      </c>
      <c r="F13" s="158">
        <v>6937</v>
      </c>
      <c r="G13" s="159">
        <v>2.1960801694308931</v>
      </c>
      <c r="H13" s="158">
        <v>-2178</v>
      </c>
      <c r="I13" s="155">
        <v>-0.68950015987033098</v>
      </c>
      <c r="J13" s="156">
        <v>315881</v>
      </c>
    </row>
    <row r="14" spans="1:10" ht="13.5" customHeight="1" x14ac:dyDescent="0.2">
      <c r="A14" s="1" t="s">
        <v>25</v>
      </c>
      <c r="B14" s="158">
        <v>51524</v>
      </c>
      <c r="C14" s="158">
        <v>49071</v>
      </c>
      <c r="D14" s="158">
        <v>2453</v>
      </c>
      <c r="E14" s="159">
        <v>0.73802403316745591</v>
      </c>
      <c r="F14" s="158">
        <v>8318</v>
      </c>
      <c r="G14" s="159">
        <v>2.5026024899661223</v>
      </c>
      <c r="H14" s="158">
        <v>-1217</v>
      </c>
      <c r="I14" s="155">
        <v>-0.36615379060937375</v>
      </c>
      <c r="J14" s="156">
        <v>332374</v>
      </c>
    </row>
    <row r="15" spans="1:10" ht="13.5" customHeight="1" x14ac:dyDescent="0.2">
      <c r="A15" s="1" t="s">
        <v>26</v>
      </c>
      <c r="B15" s="158">
        <v>54348</v>
      </c>
      <c r="C15" s="158">
        <v>51489</v>
      </c>
      <c r="D15" s="158">
        <v>2859</v>
      </c>
      <c r="E15" s="159">
        <v>0.80992648621085284</v>
      </c>
      <c r="F15" s="158">
        <v>9706</v>
      </c>
      <c r="G15" s="159">
        <v>2.7496140171957109</v>
      </c>
      <c r="H15" s="158">
        <v>-2121</v>
      </c>
      <c r="I15" s="155">
        <v>-0.60085836909871249</v>
      </c>
      <c r="J15" s="156">
        <v>352995</v>
      </c>
    </row>
    <row r="16" spans="1:10" ht="13.5" customHeight="1" x14ac:dyDescent="0.2">
      <c r="A16" s="1" t="s">
        <v>27</v>
      </c>
      <c r="B16" s="158">
        <v>57709</v>
      </c>
      <c r="C16" s="158">
        <v>55592</v>
      </c>
      <c r="D16" s="158">
        <v>2117</v>
      </c>
      <c r="E16" s="159">
        <v>0.56209011496694372</v>
      </c>
      <c r="F16" s="158">
        <v>11138</v>
      </c>
      <c r="G16" s="159">
        <v>2.957279027161936</v>
      </c>
      <c r="H16" s="158">
        <v>-3757</v>
      </c>
      <c r="I16" s="155">
        <v>-0.99753073308021145</v>
      </c>
      <c r="J16" s="156">
        <v>376630</v>
      </c>
    </row>
    <row r="17" spans="1:10" ht="13.5" customHeight="1" x14ac:dyDescent="0.2">
      <c r="A17" s="1" t="s">
        <v>28</v>
      </c>
      <c r="B17" s="158">
        <v>61021</v>
      </c>
      <c r="C17" s="158">
        <v>60400</v>
      </c>
      <c r="D17" s="158">
        <v>621</v>
      </c>
      <c r="E17" s="159">
        <v>0.15740926154524693</v>
      </c>
      <c r="F17" s="158">
        <v>13268</v>
      </c>
      <c r="G17" s="159">
        <v>3.363133787733231</v>
      </c>
      <c r="H17" s="158">
        <v>-7104</v>
      </c>
      <c r="I17" s="155">
        <v>-1.8007011175804093</v>
      </c>
      <c r="J17" s="156">
        <v>394513</v>
      </c>
    </row>
    <row r="18" spans="1:10" ht="13.5" customHeight="1" x14ac:dyDescent="0.2">
      <c r="A18" s="1" t="s">
        <v>29</v>
      </c>
      <c r="B18" s="158">
        <v>64699</v>
      </c>
      <c r="C18" s="158">
        <v>62002</v>
      </c>
      <c r="D18" s="158">
        <v>3734</v>
      </c>
      <c r="E18" s="159">
        <v>0.90345339859618734</v>
      </c>
      <c r="F18" s="158">
        <v>16340</v>
      </c>
      <c r="G18" s="159">
        <v>3.9535159435087577</v>
      </c>
      <c r="H18" s="158">
        <v>-6089</v>
      </c>
      <c r="I18" s="155">
        <v>-1.4732532790712867</v>
      </c>
      <c r="J18" s="156">
        <v>413303</v>
      </c>
    </row>
    <row r="19" spans="1:10" ht="13.5" customHeight="1" x14ac:dyDescent="0.2">
      <c r="A19" s="1" t="s">
        <v>30</v>
      </c>
      <c r="B19" s="158">
        <v>67492</v>
      </c>
      <c r="C19" s="158">
        <v>66754</v>
      </c>
      <c r="D19" s="158">
        <v>1143</v>
      </c>
      <c r="E19" s="159">
        <v>0.25715616331103747</v>
      </c>
      <c r="F19" s="158">
        <v>14855</v>
      </c>
      <c r="G19" s="159">
        <v>3.3421301889636585</v>
      </c>
      <c r="H19" s="158">
        <v>-6475</v>
      </c>
      <c r="I19" s="155">
        <v>-1.4567682917226312</v>
      </c>
      <c r="J19" s="156">
        <v>444477</v>
      </c>
    </row>
    <row r="20" spans="1:10" ht="13.5" customHeight="1" x14ac:dyDescent="0.2">
      <c r="A20" s="1" t="s">
        <v>31</v>
      </c>
      <c r="B20" s="158">
        <v>70226</v>
      </c>
      <c r="C20" s="158">
        <v>68917</v>
      </c>
      <c r="D20" s="158">
        <v>1301</v>
      </c>
      <c r="E20" s="159">
        <v>0.27992219841126403</v>
      </c>
      <c r="F20" s="158">
        <v>13067</v>
      </c>
      <c r="G20" s="159">
        <v>2.8114860619830799</v>
      </c>
      <c r="H20" s="158">
        <v>-5532</v>
      </c>
      <c r="I20" s="155">
        <v>-1.1902610312153057</v>
      </c>
      <c r="J20" s="156">
        <v>464772</v>
      </c>
    </row>
    <row r="21" spans="1:10" ht="13.5" customHeight="1" x14ac:dyDescent="0.2">
      <c r="A21" s="1" t="s">
        <v>32</v>
      </c>
      <c r="B21" s="154">
        <v>70349</v>
      </c>
      <c r="C21" s="154">
        <v>68869</v>
      </c>
      <c r="D21" s="154">
        <v>1699</v>
      </c>
      <c r="E21" s="155">
        <v>0.35406602841697682</v>
      </c>
      <c r="F21" s="154">
        <v>14143</v>
      </c>
      <c r="G21" s="155">
        <v>2.9473548204245459</v>
      </c>
      <c r="H21" s="154">
        <v>-5070</v>
      </c>
      <c r="I21" s="155">
        <v>-1.0565713737928619</v>
      </c>
      <c r="J21" s="156">
        <v>479854</v>
      </c>
    </row>
    <row r="22" spans="1:10" ht="13.5" customHeight="1" x14ac:dyDescent="0.2">
      <c r="A22" s="3" t="s">
        <v>33</v>
      </c>
      <c r="B22" s="158">
        <v>75181</v>
      </c>
      <c r="C22" s="158">
        <v>72836</v>
      </c>
      <c r="D22" s="158">
        <v>2367</v>
      </c>
      <c r="E22" s="159">
        <v>0.47788929200913383</v>
      </c>
      <c r="F22" s="158">
        <v>13869</v>
      </c>
      <c r="G22" s="159">
        <v>2.8001041786542782</v>
      </c>
      <c r="H22" s="158">
        <v>-3527</v>
      </c>
      <c r="I22" s="159">
        <v>-0.71208936751846852</v>
      </c>
      <c r="J22" s="160">
        <v>495303</v>
      </c>
    </row>
    <row r="23" spans="1:10" ht="13.5" customHeight="1" x14ac:dyDescent="0.2">
      <c r="A23" s="3" t="s">
        <v>34</v>
      </c>
      <c r="B23" s="158">
        <v>78244</v>
      </c>
      <c r="C23" s="158">
        <v>74052</v>
      </c>
      <c r="D23" s="158">
        <v>4204</v>
      </c>
      <c r="E23" s="159">
        <v>0.81864899548029413</v>
      </c>
      <c r="F23" s="158">
        <v>13408</v>
      </c>
      <c r="G23" s="159">
        <v>2.6109528381065141</v>
      </c>
      <c r="H23" s="158">
        <v>-1202</v>
      </c>
      <c r="I23" s="159">
        <v>-0.2340666252538805</v>
      </c>
      <c r="J23" s="160">
        <v>513529</v>
      </c>
    </row>
    <row r="24" spans="1:10" ht="13.5" customHeight="1" x14ac:dyDescent="0.2">
      <c r="A24" s="143" t="s">
        <v>35</v>
      </c>
      <c r="B24" s="163">
        <v>81086</v>
      </c>
      <c r="C24" s="163">
        <v>77261</v>
      </c>
      <c r="D24" s="163">
        <v>3634</v>
      </c>
      <c r="E24" s="162">
        <v>0.67482122065762573</v>
      </c>
      <c r="F24" s="163">
        <v>16175</v>
      </c>
      <c r="G24" s="162">
        <v>3.0036415091186286</v>
      </c>
      <c r="H24" s="163">
        <v>-3971</v>
      </c>
      <c r="I24" s="162">
        <v>-0.73740095410881445</v>
      </c>
      <c r="J24" s="161">
        <v>538513</v>
      </c>
    </row>
    <row r="25" spans="1:10" ht="13.5" customHeight="1" x14ac:dyDescent="0.2">
      <c r="A25" s="143" t="s">
        <v>169</v>
      </c>
      <c r="B25" s="163">
        <v>82096</v>
      </c>
      <c r="C25" s="163">
        <v>78047</v>
      </c>
      <c r="D25" s="163">
        <v>5058</v>
      </c>
      <c r="E25" s="162">
        <v>0.87703479702314491</v>
      </c>
      <c r="F25" s="163">
        <v>18198</v>
      </c>
      <c r="G25" s="162">
        <v>3.1554525971188596</v>
      </c>
      <c r="H25" s="163">
        <v>-2721</v>
      </c>
      <c r="I25" s="162">
        <v>-0.47180934810201208</v>
      </c>
      <c r="J25" s="161">
        <v>576716</v>
      </c>
    </row>
    <row r="26" spans="1:10" ht="13.5" customHeight="1" x14ac:dyDescent="0.2">
      <c r="A26" s="143" t="s">
        <v>177</v>
      </c>
      <c r="B26" s="172">
        <v>85482</v>
      </c>
      <c r="C26" s="172">
        <v>82766.49197081101</v>
      </c>
      <c r="D26" s="172">
        <v>2716</v>
      </c>
      <c r="E26" s="171">
        <v>0.44937127729980147</v>
      </c>
      <c r="F26" s="172">
        <v>17883.580258509999</v>
      </c>
      <c r="G26" s="171">
        <v>2.9588981235125744</v>
      </c>
      <c r="H26" s="172">
        <v>-6730</v>
      </c>
      <c r="I26" s="171">
        <v>-1.113500992720053</v>
      </c>
      <c r="J26" s="170">
        <v>604400</v>
      </c>
    </row>
    <row r="27" spans="1:10" s="3" customFormat="1" ht="13.5" customHeight="1" x14ac:dyDescent="0.2">
      <c r="A27" s="180" t="s">
        <v>0</v>
      </c>
      <c r="B27" s="172">
        <v>84968.893028875304</v>
      </c>
      <c r="C27" s="172">
        <v>86059</v>
      </c>
      <c r="D27" s="172">
        <v>-1050</v>
      </c>
      <c r="E27" s="171">
        <v>-0.16789254876878798</v>
      </c>
      <c r="F27" s="172">
        <v>21825.297677951599</v>
      </c>
      <c r="G27" s="171">
        <v>3.4898141474179085</v>
      </c>
      <c r="H27" s="172">
        <v>-13843</v>
      </c>
      <c r="I27" s="171">
        <v>-2.2134633834346018</v>
      </c>
      <c r="J27" s="170">
        <v>625400</v>
      </c>
    </row>
    <row r="28" spans="1:10" ht="13.5" customHeight="1" x14ac:dyDescent="0.2">
      <c r="A28" s="180" t="s">
        <v>181</v>
      </c>
      <c r="B28" s="172">
        <v>84791.108307121307</v>
      </c>
      <c r="C28" s="172">
        <v>94320.246266004891</v>
      </c>
      <c r="D28" s="172">
        <v>-9529.1379588835207</v>
      </c>
      <c r="E28" s="171">
        <v>-1.5142440741909298</v>
      </c>
      <c r="F28" s="172">
        <v>25263.7090787448</v>
      </c>
      <c r="G28" s="171">
        <v>4.0145731890584457</v>
      </c>
      <c r="H28" s="172">
        <v>-25936.060223347598</v>
      </c>
      <c r="I28" s="171">
        <v>-4.1214143053150476</v>
      </c>
      <c r="J28" s="170">
        <v>629300</v>
      </c>
    </row>
    <row r="29" spans="1:10" ht="13.5" customHeight="1" x14ac:dyDescent="0.2">
      <c r="A29" s="142" t="s">
        <v>182</v>
      </c>
      <c r="B29" s="166">
        <v>90150.961694910395</v>
      </c>
      <c r="C29" s="166">
        <v>100074.067925878</v>
      </c>
      <c r="D29" s="166">
        <v>-9923.1062309678</v>
      </c>
      <c r="E29" s="165">
        <v>-1.5403766269742005</v>
      </c>
      <c r="F29" s="166">
        <v>25440.483167501901</v>
      </c>
      <c r="G29" s="165">
        <v>3.949159138078532</v>
      </c>
      <c r="H29" s="166">
        <v>-26510.904074369901</v>
      </c>
      <c r="I29" s="165">
        <v>-4.1153219612495961</v>
      </c>
      <c r="J29" s="164">
        <v>644200</v>
      </c>
    </row>
    <row r="30" spans="1:10" ht="13.5" customHeight="1" x14ac:dyDescent="0.2">
      <c r="A30" s="142" t="s">
        <v>36</v>
      </c>
      <c r="B30" s="169">
        <v>96820.652185443891</v>
      </c>
      <c r="C30" s="169">
        <v>105799.21860673399</v>
      </c>
      <c r="D30" s="169">
        <v>-8978.5664212898591</v>
      </c>
      <c r="E30" s="168">
        <v>-1.3201832702969944</v>
      </c>
      <c r="F30" s="169">
        <v>30350.2497185805</v>
      </c>
      <c r="G30" s="168">
        <v>4.4626157504161883</v>
      </c>
      <c r="H30" s="169">
        <v>-29051.303498316502</v>
      </c>
      <c r="I30" s="168">
        <v>-4.2716223347032054</v>
      </c>
      <c r="J30" s="164">
        <v>680100</v>
      </c>
    </row>
    <row r="31" spans="1:10" ht="13.5" customHeight="1" x14ac:dyDescent="0.2">
      <c r="A31" s="142" t="s">
        <v>170</v>
      </c>
      <c r="B31" s="169">
        <v>100722.01118646699</v>
      </c>
      <c r="C31" s="169">
        <v>102974.97694912399</v>
      </c>
      <c r="D31" s="169">
        <v>-2252.9657626571498</v>
      </c>
      <c r="E31" s="168">
        <v>-0.32309848883653375</v>
      </c>
      <c r="F31" s="169">
        <v>29435.407415506001</v>
      </c>
      <c r="G31" s="168">
        <v>4.2213405156325834</v>
      </c>
      <c r="H31" s="169">
        <v>-21039.399409060101</v>
      </c>
      <c r="I31" s="168">
        <v>-3.0172665149949949</v>
      </c>
      <c r="J31" s="164">
        <v>697300</v>
      </c>
    </row>
    <row r="32" spans="1:10" ht="13.5" customHeight="1" x14ac:dyDescent="0.2">
      <c r="A32" s="142" t="s">
        <v>176</v>
      </c>
      <c r="B32" s="169">
        <v>103051.183621264</v>
      </c>
      <c r="C32" s="169">
        <v>103939.953905014</v>
      </c>
      <c r="D32" s="169">
        <v>-888.77028374887391</v>
      </c>
      <c r="E32" s="168">
        <v>-0.12257209815871933</v>
      </c>
      <c r="F32" s="169">
        <v>26029.262106134498</v>
      </c>
      <c r="G32" s="168">
        <v>3.5897479114790367</v>
      </c>
      <c r="H32" s="169">
        <v>-15390.884934158301</v>
      </c>
      <c r="I32" s="168">
        <v>-2.1225879098273759</v>
      </c>
      <c r="J32" s="164">
        <v>725100</v>
      </c>
    </row>
    <row r="33" spans="1:10" ht="13.5" customHeight="1" x14ac:dyDescent="0.2">
      <c r="A33" s="142" t="s">
        <v>180</v>
      </c>
      <c r="B33" s="169">
        <v>105950.059668179</v>
      </c>
      <c r="C33" s="169">
        <v>106652.822486645</v>
      </c>
      <c r="D33" s="169">
        <v>-702.76281846676306</v>
      </c>
      <c r="E33" s="168">
        <v>-9.2712772884797234E-2</v>
      </c>
      <c r="F33" s="169">
        <v>22733.335504229803</v>
      </c>
      <c r="G33" s="168">
        <v>2.9991207789221375</v>
      </c>
      <c r="H33" s="169">
        <v>-9998.9172240512908</v>
      </c>
      <c r="I33" s="168">
        <v>-1.3191183672890885</v>
      </c>
      <c r="J33" s="164">
        <v>758000</v>
      </c>
    </row>
    <row r="35" spans="1:10" x14ac:dyDescent="0.2">
      <c r="A35" s="1" t="s">
        <v>186</v>
      </c>
      <c r="B35" s="7"/>
    </row>
    <row r="36" spans="1:10" x14ac:dyDescent="0.2">
      <c r="A36" s="1" t="s">
        <v>187</v>
      </c>
      <c r="B36" s="7"/>
    </row>
    <row r="37" spans="1:10" x14ac:dyDescent="0.2">
      <c r="A37" s="1" t="s">
        <v>188</v>
      </c>
      <c r="B37" s="7"/>
    </row>
    <row r="38" spans="1:10" x14ac:dyDescent="0.2">
      <c r="A38" s="1" t="s">
        <v>189</v>
      </c>
      <c r="B38" s="7"/>
    </row>
    <row r="39" spans="1:10" x14ac:dyDescent="0.2">
      <c r="A39" s="1" t="s">
        <v>194</v>
      </c>
      <c r="B39" s="7"/>
    </row>
    <row r="40" spans="1:10" x14ac:dyDescent="0.2">
      <c r="A40" s="1" t="s">
        <v>195</v>
      </c>
      <c r="B40" s="7"/>
    </row>
    <row r="41" spans="1:10" x14ac:dyDescent="0.2">
      <c r="B41" s="7"/>
    </row>
    <row r="42" spans="1:10" x14ac:dyDescent="0.2">
      <c r="B42" s="7"/>
    </row>
    <row r="43" spans="1:10" x14ac:dyDescent="0.2">
      <c r="B43" s="7"/>
    </row>
    <row r="44" spans="1:10" x14ac:dyDescent="0.2">
      <c r="B44" s="7"/>
    </row>
    <row r="45" spans="1:10" x14ac:dyDescent="0.2">
      <c r="B45" s="7"/>
    </row>
    <row r="46" spans="1:10" x14ac:dyDescent="0.2">
      <c r="B46" s="7"/>
    </row>
    <row r="47" spans="1:10" x14ac:dyDescent="0.2">
      <c r="B47" s="7"/>
    </row>
    <row r="48" spans="1:10" x14ac:dyDescent="0.2">
      <c r="B48" s="7"/>
    </row>
    <row r="49" spans="2:2" x14ac:dyDescent="0.2">
      <c r="B49" s="7"/>
    </row>
    <row r="50" spans="2:2" x14ac:dyDescent="0.2">
      <c r="B50" s="7"/>
    </row>
    <row r="51" spans="2:2" x14ac:dyDescent="0.2">
      <c r="B51" s="7"/>
    </row>
    <row r="52" spans="2:2" x14ac:dyDescent="0.2">
      <c r="B52" s="7"/>
    </row>
    <row r="53" spans="2:2" x14ac:dyDescent="0.2">
      <c r="B53" s="7"/>
    </row>
    <row r="54" spans="2:2" x14ac:dyDescent="0.2">
      <c r="B54" s="7"/>
    </row>
    <row r="55" spans="2:2" x14ac:dyDescent="0.2">
      <c r="B55" s="7"/>
    </row>
    <row r="56" spans="2:2" x14ac:dyDescent="0.2">
      <c r="B56" s="7"/>
    </row>
    <row r="57" spans="2:2" x14ac:dyDescent="0.2">
      <c r="B57" s="7"/>
    </row>
    <row r="58" spans="2:2" x14ac:dyDescent="0.2">
      <c r="B58" s="7"/>
    </row>
    <row r="59" spans="2:2" x14ac:dyDescent="0.2">
      <c r="B59" s="7"/>
    </row>
  </sheetData>
  <mergeCells count="3">
    <mergeCell ref="H3:I3"/>
    <mergeCell ref="D3:E3"/>
    <mergeCell ref="F3:G3"/>
  </mergeCells>
  <pageMargins left="0.7" right="0.7" top="0.75" bottom="0.75" header="0.3" footer="0.3"/>
  <pageSetup paperSize="9" orientation="portrait" horizontalDpi="300" verticalDpi="300" r:id="rId1"/>
  <customProperties>
    <customPr name="SheetOption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BEDFC-1AF6-464D-AC41-FB54EFB9C516}">
  <sheetPr>
    <tabColor theme="7" tint="0.39997558519241921"/>
  </sheetPr>
  <dimension ref="A1:L41"/>
  <sheetViews>
    <sheetView showGridLines="0" zoomScaleNormal="100" workbookViewId="0">
      <selection activeCell="G17" sqref="G17"/>
    </sheetView>
  </sheetViews>
  <sheetFormatPr defaultColWidth="9.1796875" defaultRowHeight="10" outlineLevelRow="1" x14ac:dyDescent="0.2"/>
  <cols>
    <col min="1" max="1" width="7.453125" style="1" bestFit="1" customWidth="1"/>
    <col min="2" max="2" width="10.453125" style="1" bestFit="1" customWidth="1"/>
    <col min="3" max="3" width="8.1796875" style="1" bestFit="1" customWidth="1"/>
    <col min="4" max="4" width="10.1796875" style="1" bestFit="1" customWidth="1"/>
    <col min="5" max="6" width="13.1796875" style="1" bestFit="1" customWidth="1"/>
    <col min="7" max="7" width="11.453125" style="1" bestFit="1" customWidth="1"/>
    <col min="8" max="8" width="10.453125" style="1" bestFit="1" customWidth="1"/>
    <col min="9" max="9" width="10" style="1" bestFit="1" customWidth="1"/>
    <col min="10" max="10" width="11.1796875" style="1" bestFit="1" customWidth="1"/>
    <col min="11" max="11" width="8.81640625" style="1" bestFit="1" customWidth="1"/>
    <col min="12" max="16384" width="9.1796875" style="1"/>
  </cols>
  <sheetData>
    <row r="1" spans="1:9" ht="10.5" x14ac:dyDescent="0.25">
      <c r="A1" s="197" t="s">
        <v>200</v>
      </c>
    </row>
    <row r="2" spans="1:9" outlineLevel="1" x14ac:dyDescent="0.2"/>
    <row r="3" spans="1:9" ht="19.25" customHeight="1" x14ac:dyDescent="0.25">
      <c r="A3" s="177"/>
      <c r="B3" s="199" t="s">
        <v>173</v>
      </c>
      <c r="C3" s="199"/>
      <c r="D3" s="199" t="s">
        <v>37</v>
      </c>
      <c r="E3" s="199"/>
      <c r="F3" s="199" t="s">
        <v>174</v>
      </c>
      <c r="G3" s="199"/>
      <c r="H3" s="199" t="s">
        <v>175</v>
      </c>
      <c r="I3" s="199"/>
    </row>
    <row r="4" spans="1:9" ht="20" x14ac:dyDescent="0.2">
      <c r="A4" s="178"/>
      <c r="B4" s="176" t="s">
        <v>12</v>
      </c>
      <c r="C4" s="176" t="s">
        <v>13</v>
      </c>
      <c r="D4" s="176" t="s">
        <v>12</v>
      </c>
      <c r="E4" s="176" t="s">
        <v>38</v>
      </c>
      <c r="F4" s="176" t="s">
        <v>12</v>
      </c>
      <c r="G4" s="176" t="s">
        <v>13</v>
      </c>
      <c r="H4" s="176" t="s">
        <v>12</v>
      </c>
      <c r="I4" s="176" t="s">
        <v>13</v>
      </c>
    </row>
    <row r="5" spans="1:9" ht="13.5" customHeight="1" x14ac:dyDescent="0.2">
      <c r="A5" s="1" t="s">
        <v>15</v>
      </c>
      <c r="B5" s="144" t="s">
        <v>16</v>
      </c>
      <c r="C5" s="144" t="s">
        <v>16</v>
      </c>
      <c r="D5" s="144" t="s">
        <v>16</v>
      </c>
      <c r="E5" s="144" t="s">
        <v>16</v>
      </c>
      <c r="F5" s="144" t="s">
        <v>16</v>
      </c>
      <c r="G5" s="144" t="s">
        <v>16</v>
      </c>
      <c r="H5" s="144" t="s">
        <v>16</v>
      </c>
      <c r="I5" s="144" t="s">
        <v>16</v>
      </c>
    </row>
    <row r="6" spans="1:9" ht="13.5" customHeight="1" x14ac:dyDescent="0.2">
      <c r="A6" s="1" t="s">
        <v>17</v>
      </c>
      <c r="B6" s="144" t="s">
        <v>16</v>
      </c>
      <c r="C6" s="144" t="s">
        <v>16</v>
      </c>
      <c r="D6" s="144" t="s">
        <v>16</v>
      </c>
      <c r="E6" s="144" t="s">
        <v>16</v>
      </c>
      <c r="F6" s="144" t="s">
        <v>16</v>
      </c>
      <c r="G6" s="144" t="s">
        <v>16</v>
      </c>
      <c r="H6" s="144" t="s">
        <v>16</v>
      </c>
      <c r="I6" s="144" t="s">
        <v>16</v>
      </c>
    </row>
    <row r="7" spans="1:9" ht="13.5" customHeight="1" x14ac:dyDescent="0.2">
      <c r="A7" s="1" t="s">
        <v>18</v>
      </c>
      <c r="B7" s="144" t="s">
        <v>16</v>
      </c>
      <c r="C7" s="144" t="s">
        <v>16</v>
      </c>
      <c r="D7" s="144" t="s">
        <v>16</v>
      </c>
      <c r="E7" s="144" t="s">
        <v>16</v>
      </c>
      <c r="F7" s="144" t="s">
        <v>16</v>
      </c>
      <c r="G7" s="144" t="s">
        <v>16</v>
      </c>
      <c r="H7" s="144" t="s">
        <v>16</v>
      </c>
      <c r="I7" s="144" t="s">
        <v>16</v>
      </c>
    </row>
    <row r="8" spans="1:9" ht="13.5" customHeight="1" x14ac:dyDescent="0.2">
      <c r="A8" s="1" t="s">
        <v>19</v>
      </c>
      <c r="B8" s="173">
        <v>23686</v>
      </c>
      <c r="C8" s="174">
        <v>9.8006032795567677</v>
      </c>
      <c r="D8" s="173">
        <v>1971</v>
      </c>
      <c r="E8" s="174">
        <v>4.8943408408035554</v>
      </c>
      <c r="F8" s="173">
        <v>19102</v>
      </c>
      <c r="G8" s="174">
        <v>7.9038724920245453</v>
      </c>
      <c r="H8" s="173">
        <v>36809</v>
      </c>
      <c r="I8" s="174">
        <v>15.230533062450604</v>
      </c>
    </row>
    <row r="9" spans="1:9" ht="13.5" customHeight="1" x14ac:dyDescent="0.2">
      <c r="A9" s="1" t="s">
        <v>20</v>
      </c>
      <c r="B9" s="173">
        <v>23334</v>
      </c>
      <c r="C9" s="174">
        <v>9.1446352570483533</v>
      </c>
      <c r="D9" s="173">
        <v>1778</v>
      </c>
      <c r="E9" s="174">
        <v>4.0445859872611463</v>
      </c>
      <c r="F9" s="173">
        <v>18273</v>
      </c>
      <c r="G9" s="174">
        <v>7.1612205387865151</v>
      </c>
      <c r="H9" s="173">
        <v>37676</v>
      </c>
      <c r="I9" s="174">
        <v>14.765290046479546</v>
      </c>
    </row>
    <row r="10" spans="1:9" ht="13.5" customHeight="1" x14ac:dyDescent="0.2">
      <c r="A10" s="1" t="s">
        <v>21</v>
      </c>
      <c r="B10" s="173">
        <v>22337</v>
      </c>
      <c r="C10" s="174">
        <v>8.4420541815323205</v>
      </c>
      <c r="D10" s="173">
        <v>1627</v>
      </c>
      <c r="E10" s="174">
        <v>3.7260110841386891</v>
      </c>
      <c r="F10" s="173">
        <v>15627</v>
      </c>
      <c r="G10" s="174">
        <v>5.9060742577251011</v>
      </c>
      <c r="H10" s="173">
        <v>39300</v>
      </c>
      <c r="I10" s="174">
        <v>14.853056781762108</v>
      </c>
    </row>
    <row r="11" spans="1:9" ht="13.5" customHeight="1" x14ac:dyDescent="0.2">
      <c r="A11" s="1" t="s">
        <v>22</v>
      </c>
      <c r="B11" s="173">
        <v>22218</v>
      </c>
      <c r="C11" s="174">
        <v>7.9600457152683974</v>
      </c>
      <c r="D11" s="173">
        <v>1574</v>
      </c>
      <c r="E11" s="174">
        <v>3.4318107489370981</v>
      </c>
      <c r="F11" s="173">
        <v>13127</v>
      </c>
      <c r="G11" s="174">
        <v>4.7030119769703962</v>
      </c>
      <c r="H11" s="173">
        <v>42104</v>
      </c>
      <c r="I11" s="174">
        <v>15.084605490847988</v>
      </c>
    </row>
    <row r="12" spans="1:9" ht="13.5" customHeight="1" x14ac:dyDescent="0.2">
      <c r="A12" s="1" t="s">
        <v>23</v>
      </c>
      <c r="B12" s="173">
        <v>23362</v>
      </c>
      <c r="C12" s="174">
        <v>7.7846865399097647</v>
      </c>
      <c r="D12" s="173">
        <v>1523</v>
      </c>
      <c r="E12" s="174">
        <v>3.1812010443864231</v>
      </c>
      <c r="F12" s="173">
        <v>11834</v>
      </c>
      <c r="G12" s="174">
        <v>3.943325935848478</v>
      </c>
      <c r="H12" s="173">
        <v>42370</v>
      </c>
      <c r="I12" s="174">
        <v>14.118533032102418</v>
      </c>
    </row>
    <row r="13" spans="1:9" ht="13.5" customHeight="1" x14ac:dyDescent="0.2">
      <c r="A13" s="1" t="s">
        <v>24</v>
      </c>
      <c r="B13" s="173">
        <v>25731</v>
      </c>
      <c r="C13" s="174">
        <v>8.1457890787986607</v>
      </c>
      <c r="D13" s="173">
        <v>1995</v>
      </c>
      <c r="E13" s="174">
        <v>4.1450238936214419</v>
      </c>
      <c r="F13" s="173">
        <v>12012</v>
      </c>
      <c r="G13" s="174">
        <v>3.8026978514060672</v>
      </c>
      <c r="H13" s="173">
        <v>54127</v>
      </c>
      <c r="I13" s="174">
        <v>17.13525029995473</v>
      </c>
    </row>
    <row r="14" spans="1:9" ht="13.5" customHeight="1" x14ac:dyDescent="0.2">
      <c r="A14" s="1" t="s">
        <v>25</v>
      </c>
      <c r="B14" s="173">
        <v>27673</v>
      </c>
      <c r="C14" s="174">
        <v>8.3258618303477405</v>
      </c>
      <c r="D14" s="173">
        <v>2014</v>
      </c>
      <c r="E14" s="174">
        <v>3.9088580079186399</v>
      </c>
      <c r="F14" s="173">
        <v>9801</v>
      </c>
      <c r="G14" s="174">
        <v>2.9487866078574134</v>
      </c>
      <c r="H14" s="173">
        <v>50723</v>
      </c>
      <c r="I14" s="174">
        <v>15.260820641807122</v>
      </c>
    </row>
    <row r="15" spans="1:9" ht="13.5" customHeight="1" x14ac:dyDescent="0.2">
      <c r="A15" s="1" t="s">
        <v>26</v>
      </c>
      <c r="B15" s="173">
        <v>32125</v>
      </c>
      <c r="C15" s="174">
        <v>9.1006954772730495</v>
      </c>
      <c r="D15" s="173">
        <v>2179</v>
      </c>
      <c r="E15" s="174">
        <v>4.0093471700890557</v>
      </c>
      <c r="F15" s="173">
        <v>20481</v>
      </c>
      <c r="G15" s="174">
        <v>5.8020651850592779</v>
      </c>
      <c r="H15" s="173">
        <v>51627</v>
      </c>
      <c r="I15" s="174">
        <v>14.625419623507415</v>
      </c>
    </row>
    <row r="16" spans="1:9" ht="13.5" customHeight="1" x14ac:dyDescent="0.2">
      <c r="A16" s="1" t="s">
        <v>27</v>
      </c>
      <c r="B16" s="173">
        <v>33048</v>
      </c>
      <c r="C16" s="174">
        <v>8.7746594801263846</v>
      </c>
      <c r="D16" s="173">
        <v>2326</v>
      </c>
      <c r="E16" s="174">
        <v>4.0305671559028919</v>
      </c>
      <c r="F16" s="173">
        <v>22605</v>
      </c>
      <c r="G16" s="174">
        <v>6.0019116905185461</v>
      </c>
      <c r="H16" s="173">
        <v>58142</v>
      </c>
      <c r="I16" s="174">
        <v>15.437431962403419</v>
      </c>
    </row>
    <row r="17" spans="1:12" ht="13.5" customHeight="1" x14ac:dyDescent="0.2">
      <c r="A17" s="1" t="s">
        <v>28</v>
      </c>
      <c r="B17" s="173">
        <v>39687</v>
      </c>
      <c r="C17" s="174">
        <v>10.059744545807108</v>
      </c>
      <c r="D17" s="173">
        <v>2763</v>
      </c>
      <c r="E17" s="174">
        <v>4.5279493944707561</v>
      </c>
      <c r="F17" s="173">
        <v>28943</v>
      </c>
      <c r="G17" s="174">
        <v>7.3363868871241262</v>
      </c>
      <c r="H17" s="173">
        <v>80446</v>
      </c>
      <c r="I17" s="174">
        <v>20.391216512510361</v>
      </c>
    </row>
    <row r="18" spans="1:12" ht="13.5" customHeight="1" x14ac:dyDescent="0.2">
      <c r="A18" s="1" t="s">
        <v>29</v>
      </c>
      <c r="B18" s="173">
        <v>45497</v>
      </c>
      <c r="C18" s="174">
        <v>11.008146565594732</v>
      </c>
      <c r="D18" s="173">
        <v>3127</v>
      </c>
      <c r="E18" s="174">
        <v>4.8331504350917331</v>
      </c>
      <c r="F18" s="173">
        <v>32666</v>
      </c>
      <c r="G18" s="174">
        <v>7.90364454165588</v>
      </c>
      <c r="H18" s="173">
        <v>88276</v>
      </c>
      <c r="I18" s="174">
        <v>21.358664224551962</v>
      </c>
    </row>
    <row r="19" spans="1:12" ht="13.5" customHeight="1" x14ac:dyDescent="0.2">
      <c r="A19" s="1" t="s">
        <v>30</v>
      </c>
      <c r="B19" s="173">
        <v>50911</v>
      </c>
      <c r="C19" s="174">
        <v>11.454135984539132</v>
      </c>
      <c r="D19" s="173">
        <v>3534</v>
      </c>
      <c r="E19" s="174">
        <v>5.2361761393942992</v>
      </c>
      <c r="F19" s="173">
        <v>32389</v>
      </c>
      <c r="G19" s="174">
        <v>7.2869912278925568</v>
      </c>
      <c r="H19" s="173">
        <v>86236</v>
      </c>
      <c r="I19" s="174">
        <v>19.401678827025918</v>
      </c>
    </row>
    <row r="20" spans="1:12" ht="13.5" customHeight="1" x14ac:dyDescent="0.2">
      <c r="A20" s="1" t="s">
        <v>31</v>
      </c>
      <c r="B20" s="173">
        <v>55364</v>
      </c>
      <c r="C20" s="174">
        <v>11.912077319631992</v>
      </c>
      <c r="D20" s="173">
        <v>3897</v>
      </c>
      <c r="E20" s="174">
        <v>5.5492267821034948</v>
      </c>
      <c r="F20" s="173">
        <v>39641</v>
      </c>
      <c r="G20" s="174">
        <v>8.5291282607385988</v>
      </c>
      <c r="H20" s="173">
        <v>112127</v>
      </c>
      <c r="I20" s="174">
        <v>24.125162445241969</v>
      </c>
    </row>
    <row r="21" spans="1:12" ht="13.5" customHeight="1" x14ac:dyDescent="0.2">
      <c r="A21" s="1" t="s">
        <v>32</v>
      </c>
      <c r="B21" s="173">
        <v>59313</v>
      </c>
      <c r="C21" s="174">
        <v>12.36063469305247</v>
      </c>
      <c r="D21" s="173">
        <v>3909</v>
      </c>
      <c r="E21" s="174">
        <v>5.5565821831156086</v>
      </c>
      <c r="F21" s="173">
        <v>40093</v>
      </c>
      <c r="G21" s="174">
        <v>8.3552497217903774</v>
      </c>
      <c r="H21" s="173">
        <v>105318</v>
      </c>
      <c r="I21" s="174">
        <v>21.947925827439178</v>
      </c>
    </row>
    <row r="22" spans="1:12" ht="13.5" customHeight="1" x14ac:dyDescent="0.2">
      <c r="A22" s="1" t="s">
        <v>33</v>
      </c>
      <c r="B22" s="173">
        <v>63630</v>
      </c>
      <c r="C22" s="174">
        <v>12.84668172815428</v>
      </c>
      <c r="D22" s="173">
        <v>4019</v>
      </c>
      <c r="E22" s="174">
        <v>5.3457655524667134</v>
      </c>
      <c r="F22" s="173">
        <v>37733</v>
      </c>
      <c r="G22" s="174">
        <v>7.6181650424083838</v>
      </c>
      <c r="H22" s="173">
        <v>133452</v>
      </c>
      <c r="I22" s="174">
        <v>26.943507307648044</v>
      </c>
    </row>
    <row r="23" spans="1:12" ht="13.5" customHeight="1" x14ac:dyDescent="0.2">
      <c r="A23" s="1" t="s">
        <v>34</v>
      </c>
      <c r="B23" s="144">
        <v>63870</v>
      </c>
      <c r="C23" s="145">
        <v>12.437467017442053</v>
      </c>
      <c r="D23" s="144">
        <v>3977</v>
      </c>
      <c r="E23" s="145">
        <v>5.0828178518480644</v>
      </c>
      <c r="F23" s="144">
        <v>36442</v>
      </c>
      <c r="G23" s="145">
        <v>7.0963859879383637</v>
      </c>
      <c r="H23" s="144">
        <v>117411</v>
      </c>
      <c r="I23" s="145">
        <v>22.86355785165005</v>
      </c>
    </row>
    <row r="24" spans="1:12" ht="13.5" customHeight="1" x14ac:dyDescent="0.2">
      <c r="A24" s="6" t="s">
        <v>35</v>
      </c>
      <c r="B24" s="147">
        <v>64135</v>
      </c>
      <c r="C24" s="146">
        <v>11.909647492261097</v>
      </c>
      <c r="D24" s="147">
        <v>3698</v>
      </c>
      <c r="E24" s="146">
        <v>4.5605899908738863</v>
      </c>
      <c r="F24" s="147">
        <v>29403</v>
      </c>
      <c r="G24" s="146">
        <v>5.4600353194816096</v>
      </c>
      <c r="H24" s="147">
        <v>128739</v>
      </c>
      <c r="I24" s="146">
        <v>23.906386661046252</v>
      </c>
      <c r="L24" s="5"/>
    </row>
    <row r="25" spans="1:12" ht="13.5" customHeight="1" x14ac:dyDescent="0.2">
      <c r="A25" s="6" t="s">
        <v>169</v>
      </c>
      <c r="B25" s="147">
        <v>54684</v>
      </c>
      <c r="C25" s="146">
        <v>9.4819633927270974</v>
      </c>
      <c r="D25" s="147">
        <v>3113</v>
      </c>
      <c r="E25" s="146">
        <v>3.7919021633209899</v>
      </c>
      <c r="F25" s="147">
        <v>9048</v>
      </c>
      <c r="G25" s="146">
        <v>1.5688831244494692</v>
      </c>
      <c r="H25" s="147">
        <v>92075</v>
      </c>
      <c r="I25" s="146">
        <v>15.965397179894437</v>
      </c>
      <c r="L25" s="5"/>
    </row>
    <row r="26" spans="1:12" ht="13.5" customHeight="1" x14ac:dyDescent="0.2">
      <c r="A26" s="143" t="s">
        <v>177</v>
      </c>
      <c r="B26" s="148">
        <v>58151.724493580004</v>
      </c>
      <c r="C26" s="146">
        <v>9.621397169685638</v>
      </c>
      <c r="D26" s="148">
        <v>3188.7678354099999</v>
      </c>
      <c r="E26" s="146">
        <v>3.730338358262558</v>
      </c>
      <c r="F26" s="148">
        <v>9871.0765831949811</v>
      </c>
      <c r="G26" s="146">
        <v>1.6332026113823597</v>
      </c>
      <c r="H26" s="148">
        <v>98567.500898341197</v>
      </c>
      <c r="I26" s="146">
        <v>16.308322451744075</v>
      </c>
      <c r="L26" s="5"/>
    </row>
    <row r="27" spans="1:12" ht="13.5" customHeight="1" x14ac:dyDescent="0.2">
      <c r="A27" s="143" t="s">
        <v>0</v>
      </c>
      <c r="B27" s="148">
        <v>62423.103044219999</v>
      </c>
      <c r="C27" s="151">
        <v>9.9813084496674129</v>
      </c>
      <c r="D27" s="148">
        <v>2789.0106238400003</v>
      </c>
      <c r="E27" s="182">
        <v>3.2823902070751942</v>
      </c>
      <c r="F27" s="148">
        <v>11262.725420462999</v>
      </c>
      <c r="G27" s="151">
        <v>1.8008835018329068</v>
      </c>
      <c r="H27" s="148">
        <v>111624.181951355</v>
      </c>
      <c r="I27" s="151">
        <v>17.848446106708508</v>
      </c>
      <c r="L27" s="5"/>
    </row>
    <row r="28" spans="1:12" ht="13.5" customHeight="1" x14ac:dyDescent="0.2">
      <c r="A28" s="180" t="s">
        <v>181</v>
      </c>
      <c r="B28" s="181">
        <v>94908.168594641902</v>
      </c>
      <c r="C28" s="182">
        <v>15.081545939081822</v>
      </c>
      <c r="D28" s="181">
        <v>3069.3893612075999</v>
      </c>
      <c r="E28" s="182">
        <v>3.6199424945478778</v>
      </c>
      <c r="F28" s="181">
        <v>43677.3711706576</v>
      </c>
      <c r="G28" s="182">
        <v>6.9406278675762909</v>
      </c>
      <c r="H28" s="181">
        <v>145022.81350285199</v>
      </c>
      <c r="I28" s="182">
        <v>23.045099873327825</v>
      </c>
      <c r="L28" s="5"/>
    </row>
    <row r="29" spans="1:12" ht="13.5" customHeight="1" x14ac:dyDescent="0.2">
      <c r="A29" s="142" t="s">
        <v>182</v>
      </c>
      <c r="B29" s="149">
        <v>117951.206067968</v>
      </c>
      <c r="C29" s="152">
        <v>18.309718420982303</v>
      </c>
      <c r="D29" s="149">
        <v>3291.16409314256</v>
      </c>
      <c r="E29" s="152">
        <v>3.6507254401573039</v>
      </c>
      <c r="F29" s="149">
        <v>67206.140502338705</v>
      </c>
      <c r="G29" s="152">
        <v>10.432496197196322</v>
      </c>
      <c r="H29" s="149">
        <v>170293.59453353699</v>
      </c>
      <c r="I29" s="152">
        <v>26.43489514646647</v>
      </c>
      <c r="L29" s="5"/>
    </row>
    <row r="30" spans="1:12" ht="13.5" customHeight="1" x14ac:dyDescent="0.2">
      <c r="A30" s="142" t="s">
        <v>36</v>
      </c>
      <c r="B30" s="149">
        <v>147233.29842772</v>
      </c>
      <c r="C30" s="152">
        <v>21.648772008192914</v>
      </c>
      <c r="D30" s="150">
        <v>3672.4931318499998</v>
      </c>
      <c r="E30" s="153">
        <v>3.7930886117312537</v>
      </c>
      <c r="F30" s="150">
        <v>91689.665484251207</v>
      </c>
      <c r="G30" s="153">
        <v>13.481791719489959</v>
      </c>
      <c r="H30" s="150">
        <v>193141.31206520402</v>
      </c>
      <c r="I30" s="152">
        <v>28.398957809910897</v>
      </c>
      <c r="L30" s="5"/>
    </row>
    <row r="31" spans="1:12" ht="13.5" customHeight="1" x14ac:dyDescent="0.2">
      <c r="A31" s="142" t="s">
        <v>170</v>
      </c>
      <c r="B31" s="150">
        <v>168494.96107861001</v>
      </c>
      <c r="C31" s="152">
        <v>24.163912387582105</v>
      </c>
      <c r="D31" s="150">
        <v>4125.3087857600003</v>
      </c>
      <c r="E31" s="153">
        <v>4.0957371056886487</v>
      </c>
      <c r="F31" s="150">
        <v>110676.157301379</v>
      </c>
      <c r="G31" s="153">
        <v>15.872100573838951</v>
      </c>
      <c r="H31" s="150">
        <v>208071.090477091</v>
      </c>
      <c r="I31" s="152">
        <v>29.839536853160908</v>
      </c>
    </row>
    <row r="32" spans="1:12" ht="13.5" customHeight="1" x14ac:dyDescent="0.2">
      <c r="A32" s="142" t="s">
        <v>176</v>
      </c>
      <c r="B32" s="150">
        <v>188445.86303539001</v>
      </c>
      <c r="C32" s="152">
        <v>25.988948149964141</v>
      </c>
      <c r="D32" s="150">
        <v>4780.8646172500003</v>
      </c>
      <c r="E32" s="153">
        <v>4.6393107281724584</v>
      </c>
      <c r="F32" s="150">
        <v>125983.911959533</v>
      </c>
      <c r="G32" s="153">
        <v>17.374694795136257</v>
      </c>
      <c r="H32" s="150">
        <v>216682.79164431299</v>
      </c>
      <c r="I32" s="152">
        <v>29.883159790968556</v>
      </c>
    </row>
    <row r="33" spans="1:9" ht="12" x14ac:dyDescent="0.2">
      <c r="A33" s="142" t="s">
        <v>180</v>
      </c>
      <c r="B33" s="150">
        <v>205876.90566006998</v>
      </c>
      <c r="C33" s="152">
        <v>27.160541643808706</v>
      </c>
      <c r="D33" s="150">
        <v>5518.2063930499999</v>
      </c>
      <c r="E33" s="153">
        <v>5.2083089054713723</v>
      </c>
      <c r="F33" s="150">
        <v>136048.894849887</v>
      </c>
      <c r="G33" s="153">
        <v>17.948403014496968</v>
      </c>
      <c r="H33" s="150">
        <v>223474.35468230498</v>
      </c>
      <c r="I33" s="152">
        <v>29.482104839354218</v>
      </c>
    </row>
    <row r="35" spans="1:9" x14ac:dyDescent="0.2">
      <c r="A35" s="1" t="s">
        <v>186</v>
      </c>
      <c r="B35" s="147"/>
      <c r="C35" s="146"/>
      <c r="D35" s="147"/>
    </row>
    <row r="36" spans="1:9" x14ac:dyDescent="0.2">
      <c r="A36" s="1" t="s">
        <v>187</v>
      </c>
      <c r="E36" s="184"/>
      <c r="G36" s="183"/>
    </row>
    <row r="37" spans="1:9" x14ac:dyDescent="0.2">
      <c r="A37" s="1" t="s">
        <v>188</v>
      </c>
      <c r="E37" s="184"/>
      <c r="G37" s="183"/>
    </row>
    <row r="38" spans="1:9" x14ac:dyDescent="0.2">
      <c r="A38" s="1" t="s">
        <v>189</v>
      </c>
      <c r="E38" s="184"/>
      <c r="G38" s="183"/>
    </row>
    <row r="39" spans="1:9" x14ac:dyDescent="0.2">
      <c r="A39" s="1" t="s">
        <v>191</v>
      </c>
      <c r="E39" s="184"/>
      <c r="G39" s="183"/>
    </row>
    <row r="40" spans="1:9" x14ac:dyDescent="0.2">
      <c r="A40" s="1" t="s">
        <v>192</v>
      </c>
      <c r="E40" s="184"/>
      <c r="G40" s="183"/>
    </row>
    <row r="41" spans="1:9" x14ac:dyDescent="0.2">
      <c r="A41" s="1" t="s">
        <v>196</v>
      </c>
      <c r="E41" s="184"/>
      <c r="G41" s="183"/>
    </row>
  </sheetData>
  <mergeCells count="4">
    <mergeCell ref="B3:C3"/>
    <mergeCell ref="D3:E3"/>
    <mergeCell ref="F3:G3"/>
    <mergeCell ref="H3:I3"/>
  </mergeCells>
  <pageMargins left="0.7" right="0.7" top="0.75" bottom="0.75" header="0.3" footer="0.3"/>
  <pageSetup paperSize="9" orientation="portrait" horizontalDpi="300" verticalDpi="300" r:id="rId1"/>
  <customProperties>
    <customPr name="SheetOptions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workbookViewId="0">
      <selection activeCell="C32" sqref="C32"/>
    </sheetView>
  </sheetViews>
  <sheetFormatPr defaultRowHeight="14.5" x14ac:dyDescent="0.35"/>
  <cols>
    <col min="2" max="2" width="43.54296875" bestFit="1" customWidth="1"/>
    <col min="3" max="3" width="11.54296875" customWidth="1"/>
    <col min="4" max="4" width="18.453125" customWidth="1"/>
  </cols>
  <sheetData>
    <row r="1" spans="1:4" x14ac:dyDescent="0.35">
      <c r="B1" t="s">
        <v>39</v>
      </c>
    </row>
    <row r="2" spans="1:4" x14ac:dyDescent="0.35">
      <c r="B2" t="s">
        <v>40</v>
      </c>
    </row>
    <row r="3" spans="1:4" x14ac:dyDescent="0.35">
      <c r="B3" t="s">
        <v>41</v>
      </c>
    </row>
    <row r="5" spans="1:4" x14ac:dyDescent="0.35">
      <c r="A5" t="s">
        <v>42</v>
      </c>
      <c r="B5" t="s">
        <v>5</v>
      </c>
      <c r="C5" t="s">
        <v>43</v>
      </c>
      <c r="D5" t="s">
        <v>44</v>
      </c>
    </row>
    <row r="6" spans="1:4" x14ac:dyDescent="0.35">
      <c r="A6" t="s">
        <v>45</v>
      </c>
      <c r="B6">
        <v>87</v>
      </c>
      <c r="C6">
        <v>0.5</v>
      </c>
      <c r="D6">
        <f>B6+(255-B6)*C6</f>
        <v>171</v>
      </c>
    </row>
    <row r="7" spans="1:4" x14ac:dyDescent="0.35">
      <c r="A7" t="s">
        <v>46</v>
      </c>
      <c r="B7">
        <v>81</v>
      </c>
      <c r="C7">
        <v>0.5</v>
      </c>
      <c r="D7">
        <f t="shared" ref="D7:D8" si="0">B7+(255-B7)*C7</f>
        <v>168</v>
      </c>
    </row>
    <row r="8" spans="1:4" x14ac:dyDescent="0.35">
      <c r="A8" t="s">
        <v>47</v>
      </c>
      <c r="B8">
        <v>77</v>
      </c>
      <c r="C8">
        <v>0.5</v>
      </c>
      <c r="D8" s="4">
        <f t="shared" si="0"/>
        <v>166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P46"/>
  <sheetViews>
    <sheetView zoomScale="80" zoomScaleNormal="80" workbookViewId="0">
      <pane xSplit="2" ySplit="9" topLeftCell="I22" activePane="bottomRight" state="frozen"/>
      <selection pane="topRight" activeCell="E24" sqref="E24"/>
      <selection pane="bottomLeft" activeCell="E24" sqref="E24"/>
      <selection pane="bottomRight" activeCell="J45" sqref="J45:N45"/>
    </sheetView>
  </sheetViews>
  <sheetFormatPr defaultColWidth="8.81640625" defaultRowHeight="12.5" outlineLevelCol="1" x14ac:dyDescent="0.25"/>
  <cols>
    <col min="1" max="1" width="38.1796875" style="8" customWidth="1" outlineLevel="1"/>
    <col min="2" max="2" width="65.81640625" style="8" customWidth="1"/>
    <col min="3" max="3" width="19.81640625" style="93" customWidth="1"/>
    <col min="4" max="7" width="9.81640625" style="93" customWidth="1"/>
    <col min="8" max="8" width="11.1796875" style="93" customWidth="1"/>
    <col min="9" max="9" width="9.81640625" style="93" customWidth="1"/>
    <col min="10" max="10" width="11.453125" style="93" bestFit="1" customWidth="1"/>
    <col min="11" max="14" width="11.453125" style="8" bestFit="1" customWidth="1"/>
    <col min="15" max="16384" width="8.81640625" style="8"/>
  </cols>
  <sheetData>
    <row r="1" spans="1:15" ht="20" thickBot="1" x14ac:dyDescent="0.5">
      <c r="B1" s="91" t="s">
        <v>48</v>
      </c>
      <c r="C1" s="92" t="s">
        <v>49</v>
      </c>
      <c r="N1" s="88"/>
      <c r="O1" s="109" t="s">
        <v>50</v>
      </c>
    </row>
    <row r="2" spans="1:15" ht="13" thickTop="1" x14ac:dyDescent="0.25">
      <c r="A2" s="94"/>
    </row>
    <row r="3" spans="1:15" x14ac:dyDescent="0.25">
      <c r="A3" s="94"/>
    </row>
    <row r="4" spans="1:15" x14ac:dyDescent="0.25">
      <c r="A4" s="94"/>
    </row>
    <row r="7" spans="1:15" ht="13" x14ac:dyDescent="0.3">
      <c r="C7" s="95" t="s">
        <v>51</v>
      </c>
      <c r="D7" s="95" t="s">
        <v>52</v>
      </c>
      <c r="E7" s="95" t="s">
        <v>53</v>
      </c>
      <c r="F7" s="95" t="s">
        <v>54</v>
      </c>
      <c r="G7" s="95" t="s">
        <v>55</v>
      </c>
      <c r="H7" s="95" t="s">
        <v>56</v>
      </c>
      <c r="I7" s="95" t="s">
        <v>57</v>
      </c>
      <c r="J7" s="96" t="s">
        <v>58</v>
      </c>
      <c r="K7" s="96" t="s">
        <v>59</v>
      </c>
      <c r="L7" s="96" t="s">
        <v>0</v>
      </c>
      <c r="M7" s="96" t="s">
        <v>60</v>
      </c>
      <c r="N7" s="96" t="s">
        <v>61</v>
      </c>
    </row>
    <row r="8" spans="1:15" ht="13" x14ac:dyDescent="0.3">
      <c r="B8" s="8" t="s">
        <v>62</v>
      </c>
      <c r="C8" s="95" t="s">
        <v>63</v>
      </c>
      <c r="D8" s="95" t="s">
        <v>63</v>
      </c>
      <c r="E8" s="95" t="s">
        <v>63</v>
      </c>
      <c r="F8" s="95" t="s">
        <v>63</v>
      </c>
      <c r="G8" s="95" t="s">
        <v>63</v>
      </c>
      <c r="H8" s="95" t="s">
        <v>63</v>
      </c>
      <c r="I8" s="95" t="s">
        <v>63</v>
      </c>
      <c r="J8" s="96" t="s">
        <v>63</v>
      </c>
      <c r="K8" s="96" t="s">
        <v>63</v>
      </c>
      <c r="L8" s="96" t="s">
        <v>63</v>
      </c>
      <c r="M8" s="96" t="s">
        <v>63</v>
      </c>
      <c r="N8" s="96" t="s">
        <v>63</v>
      </c>
    </row>
    <row r="9" spans="1:15" ht="13" x14ac:dyDescent="0.3">
      <c r="C9" s="95" t="s">
        <v>64</v>
      </c>
      <c r="D9" s="95" t="s">
        <v>64</v>
      </c>
      <c r="E9" s="95" t="s">
        <v>64</v>
      </c>
      <c r="F9" s="95" t="s">
        <v>64</v>
      </c>
      <c r="G9" s="95" t="s">
        <v>64</v>
      </c>
      <c r="H9" s="95" t="s">
        <v>64</v>
      </c>
      <c r="I9" s="95" t="s">
        <v>1</v>
      </c>
      <c r="J9" s="96" t="s">
        <v>65</v>
      </c>
      <c r="K9" s="96" t="s">
        <v>66</v>
      </c>
      <c r="L9" s="96" t="s">
        <v>66</v>
      </c>
      <c r="M9" s="96" t="s">
        <v>66</v>
      </c>
      <c r="N9" s="96" t="s">
        <v>66</v>
      </c>
    </row>
    <row r="10" spans="1:15" x14ac:dyDescent="0.25">
      <c r="C10" s="97"/>
      <c r="D10" s="97"/>
      <c r="E10" s="97"/>
      <c r="F10" s="97"/>
      <c r="G10" s="97"/>
      <c r="H10" s="97"/>
      <c r="I10" s="97"/>
      <c r="J10" s="98"/>
      <c r="K10" s="98"/>
      <c r="L10" s="65"/>
      <c r="M10" s="65"/>
      <c r="N10" s="65"/>
    </row>
    <row r="11" spans="1:15" x14ac:dyDescent="0.25">
      <c r="B11" s="8" t="s">
        <v>67</v>
      </c>
      <c r="C11" s="99"/>
      <c r="D11" s="99"/>
      <c r="E11" s="99"/>
      <c r="F11" s="99"/>
      <c r="G11" s="99"/>
      <c r="H11" s="99"/>
      <c r="I11" s="99"/>
      <c r="J11" s="100"/>
      <c r="K11" s="100"/>
      <c r="L11" s="65"/>
      <c r="M11" s="65"/>
      <c r="N11" s="65"/>
    </row>
    <row r="12" spans="1:15" x14ac:dyDescent="0.25">
      <c r="C12" s="99"/>
      <c r="D12" s="99"/>
      <c r="E12" s="99"/>
      <c r="F12" s="99"/>
      <c r="G12" s="99"/>
      <c r="H12" s="99"/>
      <c r="I12" s="99"/>
      <c r="J12" s="100"/>
      <c r="K12" s="100"/>
      <c r="L12" s="65"/>
      <c r="M12" s="65"/>
      <c r="N12" s="65"/>
    </row>
    <row r="13" spans="1:15" x14ac:dyDescent="0.25">
      <c r="B13" s="8" t="s">
        <v>68</v>
      </c>
      <c r="C13" s="99"/>
      <c r="D13" s="99"/>
      <c r="E13" s="99"/>
      <c r="F13" s="99"/>
      <c r="G13" s="99"/>
      <c r="H13" s="99"/>
      <c r="I13" s="99"/>
      <c r="J13" s="100"/>
      <c r="K13" s="100"/>
      <c r="L13" s="65"/>
      <c r="M13" s="65"/>
      <c r="N13" s="65"/>
    </row>
    <row r="14" spans="1:15" x14ac:dyDescent="0.25">
      <c r="B14" s="8" t="s">
        <v>69</v>
      </c>
      <c r="C14" s="99"/>
      <c r="D14" s="99"/>
      <c r="E14" s="99"/>
      <c r="F14" s="99"/>
      <c r="G14" s="99"/>
      <c r="H14" s="99"/>
      <c r="I14" s="99"/>
      <c r="J14" s="100"/>
      <c r="K14" s="100"/>
      <c r="L14" s="65"/>
      <c r="M14" s="65"/>
      <c r="N14" s="65"/>
    </row>
    <row r="15" spans="1:15" x14ac:dyDescent="0.25">
      <c r="B15" s="8" t="s">
        <v>70</v>
      </c>
      <c r="C15" s="99"/>
      <c r="D15" s="99"/>
      <c r="E15" s="99"/>
      <c r="F15" s="99"/>
      <c r="G15" s="99"/>
      <c r="H15" s="99"/>
      <c r="I15" s="99"/>
      <c r="J15" s="100"/>
      <c r="K15" s="100"/>
      <c r="L15" s="65"/>
      <c r="M15" s="65"/>
      <c r="N15" s="65"/>
    </row>
    <row r="16" spans="1:15" x14ac:dyDescent="0.25">
      <c r="B16" s="8" t="s">
        <v>71</v>
      </c>
      <c r="C16" s="99"/>
      <c r="D16" s="99"/>
      <c r="E16" s="99"/>
      <c r="F16" s="99"/>
      <c r="G16" s="99"/>
      <c r="H16" s="99"/>
      <c r="I16" s="99"/>
      <c r="J16" s="100"/>
      <c r="K16" s="100"/>
      <c r="L16" s="65"/>
      <c r="M16" s="65"/>
      <c r="N16" s="65"/>
    </row>
    <row r="17" spans="1:16" x14ac:dyDescent="0.25">
      <c r="B17" s="8" t="s">
        <v>72</v>
      </c>
      <c r="C17" s="99"/>
      <c r="D17" s="99"/>
      <c r="E17" s="99"/>
      <c r="F17" s="99"/>
      <c r="G17" s="99"/>
      <c r="H17" s="99"/>
      <c r="I17" s="99"/>
      <c r="J17" s="100"/>
      <c r="K17" s="100"/>
      <c r="L17" s="65"/>
      <c r="M17" s="65"/>
      <c r="N17" s="65"/>
    </row>
    <row r="18" spans="1:16" x14ac:dyDescent="0.25">
      <c r="C18" s="99"/>
      <c r="D18" s="99"/>
      <c r="E18" s="99"/>
      <c r="F18" s="99"/>
      <c r="G18" s="99"/>
      <c r="H18" s="99"/>
      <c r="I18" s="99"/>
      <c r="J18" s="100"/>
      <c r="K18" s="100"/>
      <c r="L18" s="65"/>
      <c r="M18" s="65"/>
      <c r="N18" s="65"/>
    </row>
    <row r="19" spans="1:16" ht="13" x14ac:dyDescent="0.3">
      <c r="B19" s="32" t="s">
        <v>73</v>
      </c>
      <c r="C19" s="99"/>
      <c r="D19" s="99"/>
      <c r="E19" s="99"/>
      <c r="F19" s="99"/>
      <c r="G19" s="99"/>
      <c r="H19" s="99"/>
      <c r="I19" s="99"/>
      <c r="J19" s="100"/>
      <c r="K19" s="100"/>
      <c r="L19" s="65"/>
      <c r="M19" s="65"/>
      <c r="N19" s="65"/>
    </row>
    <row r="20" spans="1:16" ht="13" x14ac:dyDescent="0.3">
      <c r="B20" s="32"/>
      <c r="C20" s="99"/>
      <c r="D20" s="99"/>
      <c r="E20" s="99"/>
      <c r="F20" s="99"/>
      <c r="G20" s="99"/>
      <c r="H20" s="99"/>
      <c r="I20" s="99"/>
      <c r="J20" s="100"/>
      <c r="K20" s="100"/>
      <c r="L20" s="65"/>
      <c r="M20" s="65"/>
      <c r="N20" s="65"/>
    </row>
    <row r="21" spans="1:16" ht="13" x14ac:dyDescent="0.3">
      <c r="A21" s="8" t="s">
        <v>74</v>
      </c>
      <c r="B21" s="32" t="s">
        <v>75</v>
      </c>
      <c r="C21" s="101">
        <v>57749</v>
      </c>
      <c r="D21" s="101">
        <v>60211</v>
      </c>
      <c r="E21" s="101">
        <v>66491</v>
      </c>
      <c r="F21" s="101">
        <v>72954</v>
      </c>
      <c r="G21" s="101">
        <v>77211</v>
      </c>
      <c r="H21" s="101">
        <v>76422</v>
      </c>
      <c r="I21" s="101">
        <v>72712</v>
      </c>
      <c r="J21" s="102">
        <f>-VLOOKUP($A$21,'[2]2017-2022 Total DebtBud'!$B:$H,2,FALSE)</f>
        <v>68118</v>
      </c>
      <c r="K21" s="102">
        <f>-VLOOKUP($A$21,'[2]2017-2022 Total DebtBud'!$B:$H,3,FALSE)</f>
        <v>71282</v>
      </c>
      <c r="L21" s="102">
        <f>-VLOOKUP($A$21,'[2]2017-2022 Total DebtBud'!$B:$H,4,FALSE)</f>
        <v>79932</v>
      </c>
      <c r="M21" s="102">
        <f>-VLOOKUP($A$21,'[2]2017-2022 Total DebtBud'!$B:$H,5,FALSE)</f>
        <v>86663</v>
      </c>
      <c r="N21" s="102">
        <f>-VLOOKUP($A$21,'[2]2017-2022 Total DebtBud'!$B:$H,6,FALSE)</f>
        <v>89961</v>
      </c>
      <c r="O21" s="65"/>
    </row>
    <row r="22" spans="1:16" x14ac:dyDescent="0.25">
      <c r="C22" s="99"/>
      <c r="D22" s="99"/>
      <c r="E22" s="99"/>
      <c r="F22" s="99"/>
      <c r="G22" s="99"/>
      <c r="H22" s="99"/>
      <c r="I22" s="99"/>
      <c r="J22" s="100"/>
      <c r="K22" s="100"/>
      <c r="L22" s="103"/>
      <c r="M22" s="103"/>
      <c r="N22" s="103"/>
      <c r="O22" s="65"/>
    </row>
    <row r="23" spans="1:16" ht="13" x14ac:dyDescent="0.3">
      <c r="B23" s="32" t="s">
        <v>76</v>
      </c>
      <c r="C23" s="99"/>
      <c r="D23" s="99"/>
      <c r="E23" s="99"/>
      <c r="F23" s="99"/>
      <c r="G23" s="99"/>
      <c r="H23" s="99"/>
      <c r="I23" s="99"/>
      <c r="J23" s="100"/>
      <c r="K23" s="100"/>
      <c r="L23" s="100"/>
      <c r="M23" s="100"/>
      <c r="N23" s="100"/>
      <c r="O23" s="65"/>
    </row>
    <row r="24" spans="1:16" x14ac:dyDescent="0.25">
      <c r="B24" s="8" t="s">
        <v>77</v>
      </c>
      <c r="C24" s="104">
        <v>-5835</v>
      </c>
      <c r="D24" s="104">
        <v>-6792</v>
      </c>
      <c r="E24" s="104">
        <v>-8182</v>
      </c>
      <c r="F24" s="104">
        <v>-8503</v>
      </c>
      <c r="G24" s="104">
        <v>-8696</v>
      </c>
      <c r="H24" s="104">
        <v>-8992</v>
      </c>
      <c r="I24" s="104">
        <v>-9544</v>
      </c>
      <c r="J24" s="105">
        <f>IF(ISERROR(VLOOKUP($B24,'[2]2017-22 PTEBud'!$B:$H,2,FALSE)),0,VLOOKUP($B24,'[2]2017-22 PTEBud'!$B:$H,2,FALSE))</f>
        <v>0</v>
      </c>
      <c r="K24" s="105">
        <f>IF(ISERROR(VLOOKUP($B24,'[2]2017-22 PTEBud'!$B:$H,3,FALSE)),0,VLOOKUP($B24,'[2]2017-22 PTEBud'!$B:$H,3,FALSE))</f>
        <v>0</v>
      </c>
      <c r="L24" s="105">
        <f>IF(ISERROR(VLOOKUP($B24,'[2]2017-22 PTEBud'!$B:$H,4,FALSE)),0,VLOOKUP($B24,'[2]2017-22 PTEBud'!$B:$H,4,FALSE))</f>
        <v>0</v>
      </c>
      <c r="M24" s="105">
        <f>IF(ISERROR(VLOOKUP($B24,'[2]2017-22 PTEBud'!$B:$H,5,FALSE)),0,VLOOKUP($B24,'[2]2017-22 PTEBud'!$B:$H,5,FALSE))</f>
        <v>0</v>
      </c>
      <c r="N24" s="105">
        <f>IF(ISERROR(VLOOKUP($B24,'[2]2017-22 PTEBud'!$B:$H,6,FALSE)),0,VLOOKUP($B24,'[2]2017-22 PTEBud'!$B:$H,6,FALSE))</f>
        <v>0</v>
      </c>
      <c r="O24" s="65"/>
      <c r="P24" s="65"/>
    </row>
    <row r="25" spans="1:16" x14ac:dyDescent="0.25">
      <c r="B25" s="8" t="s">
        <v>78</v>
      </c>
      <c r="C25" s="104">
        <v>-652</v>
      </c>
      <c r="D25" s="104">
        <v>-816</v>
      </c>
      <c r="E25" s="104">
        <v>-918</v>
      </c>
      <c r="F25" s="104">
        <v>-986</v>
      </c>
      <c r="G25" s="104">
        <v>-1032</v>
      </c>
      <c r="H25" s="104">
        <v>-1061</v>
      </c>
      <c r="I25" s="104">
        <v>-1072</v>
      </c>
      <c r="J25" s="105">
        <f>IF(ISERROR(VLOOKUP($B25,'[2]2017-22 PTEBud'!$B:$H,2,FALSE)),0,VLOOKUP($B25,'[2]2017-22 PTEBud'!$B:$H,2,FALSE))</f>
        <v>-1057</v>
      </c>
      <c r="K25" s="105">
        <f>IF(ISERROR(VLOOKUP($B25,'[2]2017-22 PTEBud'!$B:$H,3,FALSE)),0,VLOOKUP($B25,'[2]2017-22 PTEBud'!$B:$H,3,FALSE))</f>
        <v>-1124</v>
      </c>
      <c r="L25" s="105">
        <f>IF(ISERROR(VLOOKUP($B25,'[2]2017-22 PTEBud'!$B:$H,4,FALSE)),0,VLOOKUP($B25,'[2]2017-22 PTEBud'!$B:$H,4,FALSE))</f>
        <v>-1259</v>
      </c>
      <c r="M25" s="105">
        <f>IF(ISERROR(VLOOKUP($B25,'[2]2017-22 PTEBud'!$B:$H,5,FALSE)),0,VLOOKUP($B25,'[2]2017-22 PTEBud'!$B:$H,5,FALSE))</f>
        <v>-1329</v>
      </c>
      <c r="N25" s="105">
        <f>IF(ISERROR(VLOOKUP($B25,'[2]2017-22 PTEBud'!$B:$H,6,FALSE)),0,VLOOKUP($B25,'[2]2017-22 PTEBud'!$B:$H,6,FALSE))</f>
        <v>-1406</v>
      </c>
      <c r="O25" s="65"/>
      <c r="P25" s="65"/>
    </row>
    <row r="26" spans="1:16" x14ac:dyDescent="0.25">
      <c r="B26" s="8" t="s">
        <v>79</v>
      </c>
      <c r="C26" s="104">
        <v>-2414</v>
      </c>
      <c r="D26" s="104">
        <v>-2617</v>
      </c>
      <c r="E26" s="104">
        <v>-3004</v>
      </c>
      <c r="F26" s="104">
        <v>-3358</v>
      </c>
      <c r="G26" s="104">
        <v>-3769</v>
      </c>
      <c r="H26" s="104">
        <v>-3981</v>
      </c>
      <c r="I26" s="104">
        <v>-4140</v>
      </c>
      <c r="J26" s="105">
        <f>IF(ISERROR(VLOOKUP($B26,'[2]2017-22 PTEBud'!$B:$H,2,FALSE)),0,VLOOKUP($B26,'[2]2017-22 PTEBud'!$B:$H,2,FALSE))</f>
        <v>0</v>
      </c>
      <c r="K26" s="105">
        <f>IF(ISERROR(VLOOKUP($B26,'[2]2017-22 PTEBud'!$B:$H,3,FALSE)),0,VLOOKUP($B26,'[2]2017-22 PTEBud'!$B:$H,3,FALSE))</f>
        <v>0</v>
      </c>
      <c r="L26" s="105">
        <f>IF(ISERROR(VLOOKUP($B26,'[2]2017-22 PTEBud'!$B:$H,4,FALSE)),0,VLOOKUP($B26,'[2]2017-22 PTEBud'!$B:$H,4,FALSE))</f>
        <v>0</v>
      </c>
      <c r="M26" s="105">
        <f>IF(ISERROR(VLOOKUP($B26,'[2]2017-22 PTEBud'!$B:$H,5,FALSE)),0,VLOOKUP($B26,'[2]2017-22 PTEBud'!$B:$H,5,FALSE))</f>
        <v>0</v>
      </c>
      <c r="N26" s="105">
        <f>IF(ISERROR(VLOOKUP($B26,'[2]2017-22 PTEBud'!$B:$H,6,FALSE)),0,VLOOKUP($B26,'[2]2017-22 PTEBud'!$B:$H,6,FALSE))</f>
        <v>0</v>
      </c>
      <c r="O26" s="65"/>
      <c r="P26" s="65"/>
    </row>
    <row r="27" spans="1:16" x14ac:dyDescent="0.25">
      <c r="B27" s="8" t="s">
        <v>80</v>
      </c>
      <c r="C27" s="104">
        <v>-822</v>
      </c>
      <c r="D27" s="104">
        <v>-823</v>
      </c>
      <c r="E27" s="104">
        <v>-792</v>
      </c>
      <c r="F27" s="104">
        <v>-711</v>
      </c>
      <c r="G27" s="104">
        <v>-714</v>
      </c>
      <c r="H27" s="104" t="s">
        <v>81</v>
      </c>
      <c r="I27" s="104" t="s">
        <v>81</v>
      </c>
      <c r="J27" s="105">
        <f>IF(ISERROR(VLOOKUP($B27,'[2]2017-22 PTEBud'!$B:$H,2,FALSE)),0,VLOOKUP($B27,'[2]2017-22 PTEBud'!$B:$H,2,FALSE))</f>
        <v>0</v>
      </c>
      <c r="K27" s="105">
        <f>IF(ISERROR(VLOOKUP($B27,'[2]2017-22 PTEBud'!$B:$H,3,FALSE)),0,VLOOKUP($B27,'[2]2017-22 PTEBud'!$B:$H,3,FALSE))</f>
        <v>0</v>
      </c>
      <c r="L27" s="105">
        <f>IF(ISERROR(VLOOKUP($B27,'[2]2017-22 PTEBud'!$B:$H,4,FALSE)),0,VLOOKUP($B27,'[2]2017-22 PTEBud'!$B:$H,4,FALSE))</f>
        <v>0</v>
      </c>
      <c r="M27" s="105">
        <f>IF(ISERROR(VLOOKUP($B27,'[2]2017-22 PTEBud'!$B:$H,5,FALSE)),0,VLOOKUP($B27,'[2]2017-22 PTEBud'!$B:$H,5,FALSE))</f>
        <v>0</v>
      </c>
      <c r="N27" s="105">
        <f>IF(ISERROR(VLOOKUP($B27,'[2]2017-22 PTEBud'!$B:$H,6,FALSE)),0,VLOOKUP($B27,'[2]2017-22 PTEBud'!$B:$H,6,FALSE))</f>
        <v>0</v>
      </c>
      <c r="O27" s="65"/>
      <c r="P27" s="65"/>
    </row>
    <row r="28" spans="1:16" x14ac:dyDescent="0.25">
      <c r="B28" s="8" t="s">
        <v>82</v>
      </c>
      <c r="C28" s="104">
        <v>-72</v>
      </c>
      <c r="D28" s="104">
        <v>-69</v>
      </c>
      <c r="E28" s="104">
        <v>-68</v>
      </c>
      <c r="F28" s="104">
        <v>-67</v>
      </c>
      <c r="G28" s="104" t="s">
        <v>81</v>
      </c>
      <c r="H28" s="104">
        <v>-23</v>
      </c>
      <c r="I28" s="104">
        <v>-2</v>
      </c>
      <c r="J28" s="105" t="str">
        <f>IF(ISERROR(VLOOKUP($B28,'[2]2017-22 PTEBud'!$B:$H,2,FALSE)),0,VLOOKUP($B28,'[2]2017-22 PTEBud'!$B:$H,2,FALSE))</f>
        <v>-</v>
      </c>
      <c r="K28" s="105" t="str">
        <f>IF(ISERROR(VLOOKUP($B28,'[2]2017-22 PTEBud'!$B:$H,3,FALSE)),0,VLOOKUP($B28,'[2]2017-22 PTEBud'!$B:$H,3,FALSE))</f>
        <v>-</v>
      </c>
      <c r="L28" s="105">
        <f>IF(ISERROR(VLOOKUP($B28,'[2]2017-22 PTEBud'!$B:$H,4,FALSE)),0,VLOOKUP($B28,'[2]2017-22 PTEBud'!$B:$H,4,FALSE))</f>
        <v>-160</v>
      </c>
      <c r="M28" s="105">
        <f>IF(ISERROR(VLOOKUP($B28,'[2]2017-22 PTEBud'!$B:$H,5,FALSE)),0,VLOOKUP($B28,'[2]2017-22 PTEBud'!$B:$H,5,FALSE))</f>
        <v>-160</v>
      </c>
      <c r="N28" s="105">
        <f>IF(ISERROR(VLOOKUP($B28,'[2]2017-22 PTEBud'!$B:$H,6,FALSE)),0,VLOOKUP($B28,'[2]2017-22 PTEBud'!$B:$H,6,FALSE))</f>
        <v>-160</v>
      </c>
      <c r="O28" s="65"/>
      <c r="P28" s="65"/>
    </row>
    <row r="29" spans="1:16" x14ac:dyDescent="0.25">
      <c r="B29" s="8" t="s">
        <v>83</v>
      </c>
      <c r="C29" s="104">
        <v>-3326</v>
      </c>
      <c r="D29" s="104">
        <v>-3641</v>
      </c>
      <c r="E29" s="104">
        <v>-4166</v>
      </c>
      <c r="F29" s="104">
        <v>-4336</v>
      </c>
      <c r="G29" s="104">
        <v>-4697</v>
      </c>
      <c r="H29" s="104">
        <v>-4798</v>
      </c>
      <c r="I29" s="104">
        <v>-5044</v>
      </c>
      <c r="J29" s="105">
        <f>IF(ISERROR(VLOOKUP($B29,'[2]2017-22 PTEBud'!$B:$H,2,FALSE)),0,VLOOKUP($B29,'[2]2017-22 PTEBud'!$B:$H,2,FALSE))</f>
        <v>-5275</v>
      </c>
      <c r="K29" s="105">
        <f>IF(ISERROR(VLOOKUP($B29,'[2]2017-22 PTEBud'!$B:$H,3,FALSE)),0,VLOOKUP($B29,'[2]2017-22 PTEBud'!$B:$H,3,FALSE))</f>
        <v>-5514</v>
      </c>
      <c r="L29" s="105">
        <f>IF(ISERROR(VLOOKUP($B29,'[2]2017-22 PTEBud'!$B:$H,4,FALSE)),0,VLOOKUP($B29,'[2]2017-22 PTEBud'!$B:$H,4,FALSE))</f>
        <v>-5726</v>
      </c>
      <c r="M29" s="105">
        <f>IF(ISERROR(VLOOKUP($B29,'[2]2017-22 PTEBud'!$B:$H,5,FALSE)),0,VLOOKUP($B29,'[2]2017-22 PTEBud'!$B:$H,5,FALSE))</f>
        <v>-5942</v>
      </c>
      <c r="N29" s="105">
        <f>IF(ISERROR(VLOOKUP($B29,'[2]2017-22 PTEBud'!$B:$H,6,FALSE)),0,VLOOKUP($B29,'[2]2017-22 PTEBud'!$B:$H,6,FALSE))</f>
        <v>-6076</v>
      </c>
      <c r="O29" s="65"/>
      <c r="P29" s="65"/>
    </row>
    <row r="30" spans="1:16" x14ac:dyDescent="0.25">
      <c r="B30" s="8" t="s">
        <v>84</v>
      </c>
      <c r="C30" s="104">
        <v>-60</v>
      </c>
      <c r="D30" s="104">
        <v>-53</v>
      </c>
      <c r="E30" s="104">
        <v>-52</v>
      </c>
      <c r="F30" s="104" t="s">
        <v>81</v>
      </c>
      <c r="G30" s="104" t="s">
        <v>81</v>
      </c>
      <c r="H30" s="104" t="s">
        <v>81</v>
      </c>
      <c r="I30" s="104" t="s">
        <v>81</v>
      </c>
      <c r="J30" s="105">
        <f>IF(ISERROR(VLOOKUP($B30,'[2]2017-22 PTEBud'!$B:$H,2,FALSE)),0,VLOOKUP($B30,'[2]2017-22 PTEBud'!$B:$H,2,FALSE))</f>
        <v>0</v>
      </c>
      <c r="K30" s="105">
        <f>IF(ISERROR(VLOOKUP($B30,'[2]2017-22 PTEBud'!$B:$H,3,FALSE)),0,VLOOKUP($B30,'[2]2017-22 PTEBud'!$B:$H,3,FALSE))</f>
        <v>0</v>
      </c>
      <c r="L30" s="105">
        <f>IF(ISERROR(VLOOKUP($B30,'[2]2017-22 PTEBud'!$B:$H,4,FALSE)),0,VLOOKUP($B30,'[2]2017-22 PTEBud'!$B:$H,4,FALSE))</f>
        <v>0</v>
      </c>
      <c r="M30" s="105">
        <f>IF(ISERROR(VLOOKUP($B30,'[2]2017-22 PTEBud'!$B:$H,5,FALSE)),0,VLOOKUP($B30,'[2]2017-22 PTEBud'!$B:$H,5,FALSE))</f>
        <v>0</v>
      </c>
      <c r="N30" s="105">
        <f>IF(ISERROR(VLOOKUP($B30,'[2]2017-22 PTEBud'!$B:$H,6,FALSE)),0,VLOOKUP($B30,'[2]2017-22 PTEBud'!$B:$H,6,FALSE))</f>
        <v>0</v>
      </c>
      <c r="O30" s="65"/>
      <c r="P30" s="65"/>
    </row>
    <row r="31" spans="1:16" x14ac:dyDescent="0.25">
      <c r="B31" s="8" t="s">
        <v>85</v>
      </c>
      <c r="C31" s="104">
        <v>-603</v>
      </c>
      <c r="D31" s="104">
        <v>-604</v>
      </c>
      <c r="E31" s="104">
        <v>-605</v>
      </c>
      <c r="F31" s="104" t="s">
        <v>81</v>
      </c>
      <c r="G31" s="104" t="s">
        <v>81</v>
      </c>
      <c r="H31" s="104" t="s">
        <v>81</v>
      </c>
      <c r="I31" s="104" t="s">
        <v>81</v>
      </c>
      <c r="J31" s="105">
        <f>IF(ISERROR(VLOOKUP($B31,'[2]2017-22 PTEBud'!$B:$H,2,FALSE)),0,VLOOKUP($B31,'[2]2017-22 PTEBud'!$B:$H,2,FALSE))</f>
        <v>0</v>
      </c>
      <c r="K31" s="105">
        <f>IF(ISERROR(VLOOKUP($B31,'[2]2017-22 PTEBud'!$B:$H,3,FALSE)),0,VLOOKUP($B31,'[2]2017-22 PTEBud'!$B:$H,3,FALSE))</f>
        <v>0</v>
      </c>
      <c r="L31" s="105">
        <f>IF(ISERROR(VLOOKUP($B31,'[2]2017-22 PTEBud'!$B:$H,4,FALSE)),0,VLOOKUP($B31,'[2]2017-22 PTEBud'!$B:$H,4,FALSE))</f>
        <v>0</v>
      </c>
      <c r="M31" s="105">
        <f>IF(ISERROR(VLOOKUP($B31,'[2]2017-22 PTEBud'!$B:$H,5,FALSE)),0,VLOOKUP($B31,'[2]2017-22 PTEBud'!$B:$H,5,FALSE))</f>
        <v>0</v>
      </c>
      <c r="N31" s="105">
        <f>IF(ISERROR(VLOOKUP($B31,'[2]2017-22 PTEBud'!$B:$H,6,FALSE)),0,VLOOKUP($B31,'[2]2017-22 PTEBud'!$B:$H,6,FALSE))</f>
        <v>0</v>
      </c>
      <c r="O31" s="65"/>
      <c r="P31" s="65"/>
    </row>
    <row r="32" spans="1:16" x14ac:dyDescent="0.25">
      <c r="B32" s="8" t="s">
        <v>86</v>
      </c>
      <c r="C32" s="104">
        <v>-6570</v>
      </c>
      <c r="D32" s="104">
        <v>-7313</v>
      </c>
      <c r="E32" s="104">
        <v>-5608</v>
      </c>
      <c r="F32" s="104">
        <v>-6057</v>
      </c>
      <c r="G32" s="104">
        <v>-6244</v>
      </c>
      <c r="H32" s="104">
        <v>-6340</v>
      </c>
      <c r="I32" s="104">
        <v>-7215</v>
      </c>
      <c r="J32" s="105">
        <f>IF(ISERROR(VLOOKUP($B32,'[2]2017-22 PTEBud'!$B:$H,2,FALSE)),0,VLOOKUP($B32,'[2]2017-22 PTEBud'!$B:$H,2,FALSE))</f>
        <v>-7682</v>
      </c>
      <c r="K32" s="105">
        <f>IF(ISERROR(VLOOKUP($B32,'[2]2017-22 PTEBud'!$B:$H,3,FALSE)),0,VLOOKUP($B32,'[2]2017-22 PTEBud'!$B:$H,3,FALSE))</f>
        <v>-8407</v>
      </c>
      <c r="L32" s="105">
        <f>IF(ISERROR(VLOOKUP($B32,'[2]2017-22 PTEBud'!$B:$H,4,FALSE)),0,VLOOKUP($B32,'[2]2017-22 PTEBud'!$B:$H,4,FALSE))</f>
        <v>-9293</v>
      </c>
      <c r="M32" s="105">
        <f>IF(ISERROR(VLOOKUP($B32,'[2]2017-22 PTEBud'!$B:$H,5,FALSE)),0,VLOOKUP($B32,'[2]2017-22 PTEBud'!$B:$H,5,FALSE))</f>
        <v>-10111</v>
      </c>
      <c r="N32" s="105">
        <f>IF(ISERROR(VLOOKUP($B32,'[2]2017-22 PTEBud'!$B:$H,6,FALSE)),0,VLOOKUP($B32,'[2]2017-22 PTEBud'!$B:$H,6,FALSE))</f>
        <v>-10790</v>
      </c>
      <c r="O32" s="65"/>
      <c r="P32" s="65"/>
    </row>
    <row r="33" spans="1:16" x14ac:dyDescent="0.25">
      <c r="B33" s="8" t="s">
        <v>87</v>
      </c>
      <c r="C33" s="104">
        <v>-2194</v>
      </c>
      <c r="D33" s="104">
        <v>-2271</v>
      </c>
      <c r="E33" s="104">
        <v>-2263</v>
      </c>
      <c r="F33" s="104">
        <v>-2436</v>
      </c>
      <c r="G33" s="104">
        <v>-2738</v>
      </c>
      <c r="H33" s="104">
        <v>-2875</v>
      </c>
      <c r="I33" s="104" t="s">
        <v>81</v>
      </c>
      <c r="J33" s="105">
        <f>IF(ISERROR(VLOOKUP($B33,'[2]2017-22 PTEBud'!$B:$H,2,FALSE)),0,VLOOKUP($B33,'[2]2017-22 PTEBud'!$B:$H,2,FALSE))</f>
        <v>0</v>
      </c>
      <c r="K33" s="105">
        <f>IF(ISERROR(VLOOKUP($B33,'[2]2017-22 PTEBud'!$B:$H,3,FALSE)),0,VLOOKUP($B33,'[2]2017-22 PTEBud'!$B:$H,3,FALSE))</f>
        <v>0</v>
      </c>
      <c r="L33" s="105">
        <f>IF(ISERROR(VLOOKUP($B33,'[2]2017-22 PTEBud'!$B:$H,4,FALSE)),0,VLOOKUP($B33,'[2]2017-22 PTEBud'!$B:$H,4,FALSE))</f>
        <v>0</v>
      </c>
      <c r="M33" s="105">
        <f>IF(ISERROR(VLOOKUP($B33,'[2]2017-22 PTEBud'!$B:$H,5,FALSE)),0,VLOOKUP($B33,'[2]2017-22 PTEBud'!$B:$H,5,FALSE))</f>
        <v>0</v>
      </c>
      <c r="N33" s="105">
        <f>IF(ISERROR(VLOOKUP($B33,'[2]2017-22 PTEBud'!$B:$H,6,FALSE)),0,VLOOKUP($B33,'[2]2017-22 PTEBud'!$B:$H,6,FALSE))</f>
        <v>0</v>
      </c>
      <c r="O33" s="65"/>
      <c r="P33" s="65"/>
    </row>
    <row r="34" spans="1:16" x14ac:dyDescent="0.25">
      <c r="B34" s="8" t="s">
        <v>88</v>
      </c>
      <c r="C34" s="104">
        <v>-1358</v>
      </c>
      <c r="D34" s="104">
        <v>-850</v>
      </c>
      <c r="E34" s="104">
        <v>-855</v>
      </c>
      <c r="F34" s="104">
        <v>-819</v>
      </c>
      <c r="G34" s="104">
        <v>-657</v>
      </c>
      <c r="H34" s="104" t="s">
        <v>81</v>
      </c>
      <c r="I34" s="104" t="s">
        <v>81</v>
      </c>
      <c r="J34" s="105">
        <f>IF(ISERROR(VLOOKUP($B34,'[2]2017-22 PTEBud'!$B:$H,2,FALSE)),0,VLOOKUP($B34,'[2]2017-22 PTEBud'!$B:$H,2,FALSE))</f>
        <v>0</v>
      </c>
      <c r="K34" s="105">
        <f>IF(ISERROR(VLOOKUP($B34,'[2]2017-22 PTEBud'!$B:$H,3,FALSE)),0,VLOOKUP($B34,'[2]2017-22 PTEBud'!$B:$H,3,FALSE))</f>
        <v>0</v>
      </c>
      <c r="L34" s="105">
        <f>IF(ISERROR(VLOOKUP($B34,'[2]2017-22 PTEBud'!$B:$H,4,FALSE)),0,VLOOKUP($B34,'[2]2017-22 PTEBud'!$B:$H,4,FALSE))</f>
        <v>0</v>
      </c>
      <c r="M34" s="105">
        <f>IF(ISERROR(VLOOKUP($B34,'[2]2017-22 PTEBud'!$B:$H,5,FALSE)),0,VLOOKUP($B34,'[2]2017-22 PTEBud'!$B:$H,5,FALSE))</f>
        <v>0</v>
      </c>
      <c r="N34" s="105">
        <f>IF(ISERROR(VLOOKUP($B34,'[2]2017-22 PTEBud'!$B:$H,6,FALSE)),0,VLOOKUP($B34,'[2]2017-22 PTEBud'!$B:$H,6,FALSE))</f>
        <v>0</v>
      </c>
      <c r="O34" s="65"/>
      <c r="P34" s="65"/>
    </row>
    <row r="35" spans="1:16" x14ac:dyDescent="0.25">
      <c r="B35" s="8" t="s">
        <v>89</v>
      </c>
      <c r="C35" s="104">
        <v>-475</v>
      </c>
      <c r="D35" s="104">
        <v>-476</v>
      </c>
      <c r="E35" s="104">
        <v>-468</v>
      </c>
      <c r="F35" s="104">
        <v>-439</v>
      </c>
      <c r="G35" s="104">
        <v>-439</v>
      </c>
      <c r="H35" s="104" t="s">
        <v>81</v>
      </c>
      <c r="I35" s="104" t="s">
        <v>81</v>
      </c>
      <c r="J35" s="105">
        <f>IF(ISERROR(VLOOKUP($B35,'[2]2017-22 PTEBud'!$B:$H,2,FALSE)),0,VLOOKUP($B35,'[2]2017-22 PTEBud'!$B:$H,2,FALSE))</f>
        <v>0</v>
      </c>
      <c r="K35" s="105">
        <f>IF(ISERROR(VLOOKUP($B35,'[2]2017-22 PTEBud'!$B:$H,3,FALSE)),0,VLOOKUP($B35,'[2]2017-22 PTEBud'!$B:$H,3,FALSE))</f>
        <v>0</v>
      </c>
      <c r="L35" s="105">
        <f>IF(ISERROR(VLOOKUP($B35,'[2]2017-22 PTEBud'!$B:$H,4,FALSE)),0,VLOOKUP($B35,'[2]2017-22 PTEBud'!$B:$H,4,FALSE))</f>
        <v>0</v>
      </c>
      <c r="M35" s="105">
        <f>IF(ISERROR(VLOOKUP($B35,'[2]2017-22 PTEBud'!$B:$H,5,FALSE)),0,VLOOKUP($B35,'[2]2017-22 PTEBud'!$B:$H,5,FALSE))</f>
        <v>0</v>
      </c>
      <c r="N35" s="105">
        <f>IF(ISERROR(VLOOKUP($B35,'[2]2017-22 PTEBud'!$B:$H,6,FALSE)),0,VLOOKUP($B35,'[2]2017-22 PTEBud'!$B:$H,6,FALSE))</f>
        <v>0</v>
      </c>
      <c r="O35" s="65"/>
      <c r="P35" s="65"/>
    </row>
    <row r="36" spans="1:16" x14ac:dyDescent="0.25">
      <c r="B36" s="8" t="s">
        <v>90</v>
      </c>
      <c r="C36" s="104">
        <v>-625</v>
      </c>
      <c r="D36" s="104" t="s">
        <v>81</v>
      </c>
      <c r="E36" s="104" t="s">
        <v>81</v>
      </c>
      <c r="F36" s="104" t="s">
        <v>81</v>
      </c>
      <c r="G36" s="104" t="s">
        <v>81</v>
      </c>
      <c r="H36" s="104" t="s">
        <v>81</v>
      </c>
      <c r="I36" s="104">
        <v>0</v>
      </c>
      <c r="J36" s="105">
        <f>IF(ISERROR(VLOOKUP($B36,'[2]2017-22 PTEBud'!$B:$H,2,FALSE)),0,VLOOKUP($B36,'[2]2017-22 PTEBud'!$B:$H,2,FALSE))</f>
        <v>0</v>
      </c>
      <c r="K36" s="105">
        <f>IF(ISERROR(VLOOKUP($B36,'[2]2017-22 PTEBud'!$B:$H,3,FALSE)),0,VLOOKUP($B36,'[2]2017-22 PTEBud'!$B:$H,3,FALSE))</f>
        <v>0</v>
      </c>
      <c r="L36" s="105">
        <f>IF(ISERROR(VLOOKUP($B36,'[2]2017-22 PTEBud'!$B:$H,4,FALSE)),0,VLOOKUP($B36,'[2]2017-22 PTEBud'!$B:$H,4,FALSE))</f>
        <v>0</v>
      </c>
      <c r="M36" s="105">
        <f>IF(ISERROR(VLOOKUP($B36,'[2]2017-22 PTEBud'!$B:$H,5,FALSE)),0,VLOOKUP($B36,'[2]2017-22 PTEBud'!$B:$H,5,FALSE))</f>
        <v>0</v>
      </c>
      <c r="N36" s="105">
        <f>IF(ISERROR(VLOOKUP($B36,'[2]2017-22 PTEBud'!$B:$H,6,FALSE)),0,VLOOKUP($B36,'[2]2017-22 PTEBud'!$B:$H,6,FALSE))</f>
        <v>0</v>
      </c>
      <c r="O36" s="65"/>
      <c r="P36" s="65"/>
    </row>
    <row r="37" spans="1:16" x14ac:dyDescent="0.25">
      <c r="B37" s="65" t="s">
        <v>91</v>
      </c>
      <c r="C37" s="104"/>
      <c r="D37" s="104"/>
      <c r="E37" s="104"/>
      <c r="F37" s="104"/>
      <c r="G37" s="104"/>
      <c r="H37" s="104">
        <v>-662</v>
      </c>
      <c r="I37" s="104">
        <v>-658</v>
      </c>
      <c r="J37" s="105">
        <f>IF(ISERROR(VLOOKUP($B37,'[2]2017-22 PTEBud'!$B:$H,2,FALSE)),0,VLOOKUP($B37,'[2]2017-22 PTEBud'!$B:$H,2,FALSE))</f>
        <v>-644</v>
      </c>
      <c r="K37" s="105">
        <f>IF(ISERROR(VLOOKUP($B37,'[2]2017-22 PTEBud'!$B:$H,3,FALSE)),0,VLOOKUP($B37,'[2]2017-22 PTEBud'!$B:$H,3,FALSE))</f>
        <v>-1540</v>
      </c>
      <c r="L37" s="105">
        <f>IF(ISERROR(VLOOKUP($B37,'[2]2017-22 PTEBud'!$B:$H,4,FALSE)),0,VLOOKUP($B37,'[2]2017-22 PTEBud'!$B:$H,4,FALSE))</f>
        <v>-1919</v>
      </c>
      <c r="M37" s="105">
        <f>IF(ISERROR(VLOOKUP($B37,'[2]2017-22 PTEBud'!$B:$H,5,FALSE)),0,VLOOKUP($B37,'[2]2017-22 PTEBud'!$B:$H,5,FALSE))</f>
        <v>-1928</v>
      </c>
      <c r="N37" s="105">
        <f>IF(ISERROR(VLOOKUP($B37,'[2]2017-22 PTEBud'!$B:$H,6,FALSE)),0,VLOOKUP($B37,'[2]2017-22 PTEBud'!$B:$H,6,FALSE))</f>
        <v>-2216</v>
      </c>
      <c r="O37" s="65"/>
      <c r="P37" s="65"/>
    </row>
    <row r="38" spans="1:16" x14ac:dyDescent="0.25">
      <c r="B38" s="65"/>
      <c r="C38" s="99"/>
      <c r="D38" s="99"/>
      <c r="E38" s="99"/>
      <c r="F38" s="99"/>
      <c r="G38" s="99"/>
      <c r="H38" s="99"/>
      <c r="I38" s="99"/>
      <c r="K38" s="93"/>
      <c r="O38" s="65"/>
      <c r="P38" s="65"/>
    </row>
    <row r="39" spans="1:16" ht="13" x14ac:dyDescent="0.3">
      <c r="B39" s="32" t="s">
        <v>76</v>
      </c>
      <c r="C39" s="101">
        <f t="shared" ref="C39:H39" si="0">SUM(C24:C38)</f>
        <v>-25006</v>
      </c>
      <c r="D39" s="101">
        <f t="shared" si="0"/>
        <v>-26325</v>
      </c>
      <c r="E39" s="101">
        <f t="shared" si="0"/>
        <v>-26981</v>
      </c>
      <c r="F39" s="101">
        <f t="shared" si="0"/>
        <v>-27712</v>
      </c>
      <c r="G39" s="101">
        <f t="shared" si="0"/>
        <v>-28986</v>
      </c>
      <c r="H39" s="101">
        <f t="shared" si="0"/>
        <v>-28732</v>
      </c>
      <c r="I39" s="101">
        <v>-27675</v>
      </c>
      <c r="J39" s="106">
        <f>SUM(J24:J38)</f>
        <v>-14658</v>
      </c>
      <c r="K39" s="106">
        <f>SUM(K24:K38)</f>
        <v>-16585</v>
      </c>
      <c r="L39" s="106">
        <f>SUM(L24:L38)</f>
        <v>-18357</v>
      </c>
      <c r="M39" s="106">
        <f>SUM(M24:M38)</f>
        <v>-19470</v>
      </c>
      <c r="N39" s="106">
        <f>SUM(N24:N38)</f>
        <v>-20648</v>
      </c>
      <c r="O39" s="65"/>
      <c r="P39" s="65"/>
    </row>
    <row r="40" spans="1:16" ht="13" x14ac:dyDescent="0.3">
      <c r="B40" s="32"/>
      <c r="C40" s="99"/>
      <c r="D40" s="99"/>
      <c r="E40" s="99"/>
      <c r="F40" s="99"/>
      <c r="G40" s="99"/>
      <c r="H40" s="99"/>
      <c r="I40" s="99"/>
      <c r="K40" s="93"/>
      <c r="O40" s="65"/>
      <c r="P40" s="65"/>
    </row>
    <row r="41" spans="1:16" ht="13" x14ac:dyDescent="0.3">
      <c r="B41" s="32" t="s">
        <v>92</v>
      </c>
      <c r="C41" s="101">
        <f t="shared" ref="C41:H41" si="1">C21+C39</f>
        <v>32743</v>
      </c>
      <c r="D41" s="101">
        <f t="shared" si="1"/>
        <v>33886</v>
      </c>
      <c r="E41" s="101">
        <f t="shared" si="1"/>
        <v>39510</v>
      </c>
      <c r="F41" s="101">
        <f t="shared" si="1"/>
        <v>45242</v>
      </c>
      <c r="G41" s="101">
        <f t="shared" si="1"/>
        <v>48225</v>
      </c>
      <c r="H41" s="101">
        <f t="shared" si="1"/>
        <v>47690</v>
      </c>
      <c r="I41" s="101">
        <v>45037</v>
      </c>
      <c r="J41" s="106">
        <f>J21+J39</f>
        <v>53460</v>
      </c>
      <c r="K41" s="106">
        <f>K21+K39</f>
        <v>54697</v>
      </c>
      <c r="L41" s="106">
        <f>L21+L39</f>
        <v>61575</v>
      </c>
      <c r="M41" s="106">
        <f>M21+M39</f>
        <v>67193</v>
      </c>
      <c r="N41" s="106">
        <f>N21+N39</f>
        <v>69313</v>
      </c>
      <c r="O41" s="65"/>
      <c r="P41" s="89">
        <f>N41-J41</f>
        <v>15853</v>
      </c>
    </row>
    <row r="42" spans="1:16" ht="13" x14ac:dyDescent="0.3">
      <c r="B42" s="32"/>
      <c r="C42" s="107"/>
      <c r="D42" s="107"/>
      <c r="E42" s="107"/>
      <c r="F42" s="107"/>
      <c r="G42" s="107"/>
      <c r="H42" s="107"/>
      <c r="I42" s="107"/>
      <c r="J42" s="108"/>
      <c r="K42" s="108"/>
      <c r="O42" s="65"/>
    </row>
    <row r="43" spans="1:16" ht="13" x14ac:dyDescent="0.3">
      <c r="A43" s="8" t="s">
        <v>93</v>
      </c>
      <c r="B43" s="32" t="s">
        <v>94</v>
      </c>
      <c r="C43" s="101">
        <v>56344</v>
      </c>
      <c r="D43" s="101">
        <v>57168</v>
      </c>
      <c r="E43" s="101">
        <v>59003</v>
      </c>
      <c r="F43" s="101">
        <v>60131</v>
      </c>
      <c r="G43" s="101">
        <v>66005</v>
      </c>
      <c r="H43" s="101">
        <v>69617</v>
      </c>
      <c r="I43" s="101">
        <v>74334</v>
      </c>
      <c r="J43" s="106">
        <f>VLOOKUP($A$43,'[2]GG Operating statement 2017Bud'!$B:$I,4,FALSE)</f>
        <v>77817</v>
      </c>
      <c r="K43" s="106">
        <f>VLOOKUP($A$43,'[2]GG Operating statement 2017Bud'!$B:$I,5,FALSE)</f>
        <v>79581</v>
      </c>
      <c r="L43" s="106">
        <f>VLOOKUP($A$43,'[2]GG Operating statement 2017Bud'!$B:$I,6,FALSE)</f>
        <v>80111</v>
      </c>
      <c r="M43" s="106">
        <f>VLOOKUP($A$43,'[2]GG Operating statement 2017Bud'!$B:$I,7,FALSE)</f>
        <v>82316</v>
      </c>
      <c r="N43" s="106">
        <f>VLOOKUP($A$43,'[2]GG Operating statement 2017Bud'!$B:$I,8,FALSE)</f>
        <v>83655</v>
      </c>
      <c r="O43" s="65"/>
      <c r="P43" s="89">
        <f>N43-K43</f>
        <v>4074</v>
      </c>
    </row>
    <row r="44" spans="1:16" ht="13" x14ac:dyDescent="0.3">
      <c r="B44" s="32"/>
      <c r="C44" s="107"/>
      <c r="D44" s="107"/>
      <c r="E44" s="107"/>
      <c r="F44" s="107"/>
      <c r="G44" s="107"/>
      <c r="H44" s="107"/>
      <c r="I44" s="107"/>
      <c r="J44" s="108"/>
      <c r="K44" s="108"/>
    </row>
    <row r="45" spans="1:16" ht="13" x14ac:dyDescent="0.3">
      <c r="B45" s="32" t="s">
        <v>95</v>
      </c>
      <c r="C45" s="110">
        <f>C41/C43</f>
        <v>0.58112665057503909</v>
      </c>
      <c r="D45" s="110">
        <f t="shared" ref="D45:H45" si="2">D41/D43</f>
        <v>0.59274419255527566</v>
      </c>
      <c r="E45" s="110">
        <f t="shared" si="2"/>
        <v>0.66962696812026512</v>
      </c>
      <c r="F45" s="110">
        <f t="shared" si="2"/>
        <v>0.75239061382647887</v>
      </c>
      <c r="G45" s="110">
        <f t="shared" si="2"/>
        <v>0.73062646769184147</v>
      </c>
      <c r="H45" s="110">
        <f t="shared" si="2"/>
        <v>0.68503382794432399</v>
      </c>
      <c r="I45" s="110">
        <v>0.60587348992385714</v>
      </c>
      <c r="J45" s="111">
        <f t="shared" ref="J45:N45" si="3">J41/J43</f>
        <v>0.68699641466517603</v>
      </c>
      <c r="K45" s="111">
        <f t="shared" si="3"/>
        <v>0.68731229816162154</v>
      </c>
      <c r="L45" s="111">
        <f t="shared" si="3"/>
        <v>0.76862103830934581</v>
      </c>
      <c r="M45" s="111">
        <f t="shared" si="3"/>
        <v>0.81628116040623933</v>
      </c>
      <c r="N45" s="111">
        <f t="shared" si="3"/>
        <v>0.8285577670193055</v>
      </c>
    </row>
    <row r="46" spans="1:16" ht="13" x14ac:dyDescent="0.3">
      <c r="B46" s="32"/>
    </row>
  </sheetData>
  <hyperlinks>
    <hyperlink ref="C1" location="Instructions!C13" display="Instructions!C13" xr:uid="{00000000-0004-0000-0700-000000000000}"/>
  </hyperlinks>
  <pageMargins left="0.31496062992125984" right="0.39370078740157483" top="0.98425196850393704" bottom="0.98425196850393704" header="0.51181102362204722" footer="0.51181102362204722"/>
  <pageSetup paperSize="9" scale="76" orientation="landscape" r:id="rId1"/>
  <headerFooter alignWithMargins="0">
    <oddFooter>&amp;L&amp;Z&amp;F&amp;R&amp;D 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W39"/>
  <sheetViews>
    <sheetView zoomScaleNormal="100" workbookViewId="0">
      <pane xSplit="3" ySplit="11" topLeftCell="J12" activePane="bottomRight" state="frozen"/>
      <selection pane="topRight" activeCell="A20" sqref="A20"/>
      <selection pane="bottomLeft" activeCell="A20" sqref="A20"/>
      <selection pane="bottomRight" activeCell="O19" sqref="O19:P23"/>
    </sheetView>
  </sheetViews>
  <sheetFormatPr defaultColWidth="8.81640625" defaultRowHeight="12.5" outlineLevelRow="1" outlineLevelCol="1" x14ac:dyDescent="0.25"/>
  <cols>
    <col min="1" max="1" width="14.453125" style="8" customWidth="1"/>
    <col min="2" max="2" width="8.81640625" style="8"/>
    <col min="3" max="3" width="22.81640625" style="8" customWidth="1"/>
    <col min="4" max="4" width="11.453125" style="8" customWidth="1"/>
    <col min="5" max="5" width="11.1796875" style="8" bestFit="1" customWidth="1"/>
    <col min="6" max="6" width="19.453125" style="8" hidden="1" customWidth="1" outlineLevel="1"/>
    <col min="7" max="7" width="18.81640625" style="8" hidden="1" customWidth="1" outlineLevel="1"/>
    <col min="8" max="8" width="11.453125" style="8" bestFit="1" customWidth="1" collapsed="1"/>
    <col min="9" max="9" width="12.1796875" style="8" customWidth="1"/>
    <col min="10" max="10" width="13.453125" style="8" bestFit="1" customWidth="1"/>
    <col min="11" max="11" width="19.54296875" style="8" customWidth="1"/>
    <col min="12" max="12" width="15.81640625" style="8" customWidth="1"/>
    <col min="13" max="13" width="18.81640625" style="8" customWidth="1"/>
    <col min="14" max="14" width="14.54296875" style="8" bestFit="1" customWidth="1"/>
    <col min="15" max="15" width="13" style="8" customWidth="1"/>
    <col min="16" max="16" width="14.453125" style="8" bestFit="1" customWidth="1"/>
    <col min="17" max="17" width="14.81640625" style="8" customWidth="1"/>
    <col min="18" max="18" width="12.54296875" style="8" customWidth="1"/>
    <col min="19" max="19" width="15.54296875" style="8" customWidth="1"/>
    <col min="20" max="20" width="32" style="8" customWidth="1"/>
    <col min="21" max="21" width="20.81640625" style="8" hidden="1" customWidth="1" outlineLevel="1"/>
    <col min="22" max="22" width="15.1796875" style="8" hidden="1" customWidth="1" outlineLevel="1"/>
    <col min="23" max="23" width="57.1796875" style="8" customWidth="1" collapsed="1"/>
    <col min="24" max="16384" width="8.81640625" style="8"/>
  </cols>
  <sheetData>
    <row r="1" spans="1:23" ht="25" x14ac:dyDescent="0.5">
      <c r="B1" s="9" t="s">
        <v>96</v>
      </c>
      <c r="J1" s="10" t="str">
        <f>+'[3]General Govt Sector'!L1</f>
        <v>Report generated at 10:23:05 on 09.06.2017 for Budget 2017-18</v>
      </c>
    </row>
    <row r="2" spans="1:23" ht="20" x14ac:dyDescent="0.4">
      <c r="B2" s="9"/>
      <c r="C2" s="11" t="str">
        <f>+'[3]General Govt Sector'!C2</f>
        <v xml:space="preserve">PREPARED ON A GAAP-GFS HARMONISED BASIS </v>
      </c>
      <c r="D2" s="12"/>
      <c r="K2" s="13"/>
      <c r="Q2" s="12"/>
      <c r="T2" s="12"/>
      <c r="U2" s="14"/>
      <c r="V2" s="12"/>
      <c r="W2" s="14"/>
    </row>
    <row r="3" spans="1:23" ht="23" x14ac:dyDescent="0.5">
      <c r="D3" s="15" t="s">
        <v>97</v>
      </c>
      <c r="K3" s="13"/>
      <c r="L3" s="200" t="s">
        <v>98</v>
      </c>
      <c r="M3" s="201"/>
      <c r="N3" s="201"/>
      <c r="O3" s="201"/>
      <c r="P3" s="202"/>
      <c r="Q3" s="15" t="s">
        <v>99</v>
      </c>
      <c r="R3" s="109"/>
      <c r="S3" s="109"/>
      <c r="T3" s="16" t="s">
        <v>100</v>
      </c>
      <c r="U3" s="17"/>
      <c r="V3" s="12"/>
      <c r="W3" s="14"/>
    </row>
    <row r="4" spans="1:23" ht="12.75" customHeight="1" x14ac:dyDescent="0.5">
      <c r="D4" s="15"/>
      <c r="E4" s="18"/>
      <c r="F4" s="19"/>
      <c r="G4" s="19"/>
      <c r="H4" s="18"/>
      <c r="I4" s="18"/>
      <c r="J4" s="18"/>
      <c r="K4" s="20"/>
      <c r="L4" s="21"/>
      <c r="M4" s="21"/>
      <c r="N4" s="21"/>
      <c r="O4" s="21"/>
      <c r="P4" s="22"/>
      <c r="Q4" s="23"/>
      <c r="R4" s="22"/>
      <c r="S4" s="22"/>
      <c r="T4" s="24"/>
      <c r="U4" s="25"/>
      <c r="V4" s="24"/>
      <c r="W4" s="25"/>
    </row>
    <row r="5" spans="1:23" ht="23" x14ac:dyDescent="0.5">
      <c r="D5" s="15"/>
      <c r="E5" s="18"/>
      <c r="F5" s="19"/>
      <c r="G5" s="19"/>
      <c r="H5" s="18"/>
      <c r="I5" s="18"/>
      <c r="J5" s="21"/>
      <c r="K5" s="26"/>
      <c r="L5" s="22" t="s">
        <v>101</v>
      </c>
      <c r="M5" s="22" t="s">
        <v>101</v>
      </c>
      <c r="N5" s="22" t="s">
        <v>101</v>
      </c>
      <c r="P5" s="22"/>
      <c r="Q5" s="23" t="s">
        <v>102</v>
      </c>
      <c r="R5" s="22" t="s">
        <v>103</v>
      </c>
      <c r="S5" s="22"/>
      <c r="T5" s="24"/>
      <c r="U5" s="27" t="s">
        <v>104</v>
      </c>
      <c r="V5" s="12"/>
      <c r="W5" s="14"/>
    </row>
    <row r="6" spans="1:23" ht="13" x14ac:dyDescent="0.3">
      <c r="D6" s="23"/>
      <c r="E6" s="19"/>
      <c r="F6" s="22" t="s">
        <v>105</v>
      </c>
      <c r="G6" s="19" t="s">
        <v>105</v>
      </c>
      <c r="H6" s="22"/>
      <c r="I6" s="19"/>
      <c r="J6" s="22"/>
      <c r="K6" s="26" t="s">
        <v>106</v>
      </c>
      <c r="L6" s="22"/>
      <c r="M6" s="22" t="s">
        <v>107</v>
      </c>
      <c r="N6" s="22"/>
      <c r="O6" s="22" t="s">
        <v>108</v>
      </c>
      <c r="P6" s="22" t="s">
        <v>109</v>
      </c>
      <c r="Q6" s="28" t="s">
        <v>110</v>
      </c>
      <c r="S6" s="22" t="s">
        <v>111</v>
      </c>
      <c r="T6" s="28" t="s">
        <v>112</v>
      </c>
      <c r="U6" s="29" t="s">
        <v>113</v>
      </c>
      <c r="V6" s="23" t="s">
        <v>6</v>
      </c>
      <c r="W6" s="30" t="s">
        <v>114</v>
      </c>
    </row>
    <row r="7" spans="1:23" ht="13" x14ac:dyDescent="0.3">
      <c r="B7" s="22" t="s">
        <v>115</v>
      </c>
      <c r="D7" s="23" t="s">
        <v>4</v>
      </c>
      <c r="E7" s="19" t="s">
        <v>4</v>
      </c>
      <c r="F7" s="22" t="s">
        <v>116</v>
      </c>
      <c r="G7" s="19" t="s">
        <v>117</v>
      </c>
      <c r="H7" s="22" t="s">
        <v>118</v>
      </c>
      <c r="I7" s="19" t="s">
        <v>118</v>
      </c>
      <c r="J7" s="31" t="s">
        <v>119</v>
      </c>
      <c r="K7" s="26" t="s">
        <v>120</v>
      </c>
      <c r="L7" s="32"/>
      <c r="M7" s="22" t="s">
        <v>121</v>
      </c>
      <c r="N7" s="22" t="s">
        <v>122</v>
      </c>
      <c r="O7" s="22" t="s">
        <v>123</v>
      </c>
      <c r="P7" s="22" t="s">
        <v>123</v>
      </c>
      <c r="Q7" s="28" t="s">
        <v>124</v>
      </c>
      <c r="R7" s="22" t="s">
        <v>125</v>
      </c>
      <c r="S7" s="22" t="s">
        <v>126</v>
      </c>
      <c r="T7" s="28" t="s">
        <v>127</v>
      </c>
      <c r="U7" s="33" t="s">
        <v>128</v>
      </c>
      <c r="V7" s="24" t="s">
        <v>129</v>
      </c>
      <c r="W7" s="14"/>
    </row>
    <row r="8" spans="1:23" ht="13" x14ac:dyDescent="0.3">
      <c r="B8" s="31" t="s">
        <v>130</v>
      </c>
      <c r="D8" s="34"/>
      <c r="E8" s="35"/>
      <c r="F8" s="22" t="s">
        <v>131</v>
      </c>
      <c r="G8" s="19" t="s">
        <v>131</v>
      </c>
      <c r="H8" s="21"/>
      <c r="I8" s="35"/>
      <c r="J8" s="22" t="s">
        <v>132</v>
      </c>
      <c r="K8" s="26" t="s">
        <v>133</v>
      </c>
      <c r="L8" s="22" t="s">
        <v>134</v>
      </c>
      <c r="M8" s="22" t="s">
        <v>123</v>
      </c>
      <c r="N8" s="22" t="s">
        <v>135</v>
      </c>
      <c r="O8" s="22" t="s">
        <v>136</v>
      </c>
      <c r="P8" s="22" t="s">
        <v>136</v>
      </c>
      <c r="Q8" s="28" t="s">
        <v>137</v>
      </c>
      <c r="R8" s="22" t="s">
        <v>138</v>
      </c>
      <c r="S8" s="22" t="s">
        <v>139</v>
      </c>
      <c r="T8" s="36" t="s">
        <v>140</v>
      </c>
      <c r="U8" s="33" t="s">
        <v>141</v>
      </c>
      <c r="V8" s="37" t="s">
        <v>142</v>
      </c>
      <c r="W8" s="14"/>
    </row>
    <row r="9" spans="1:23" ht="13" x14ac:dyDescent="0.3">
      <c r="B9" s="31"/>
      <c r="D9" s="34" t="s">
        <v>143</v>
      </c>
      <c r="E9" s="38" t="s">
        <v>143</v>
      </c>
      <c r="F9" s="38" t="s">
        <v>143</v>
      </c>
      <c r="G9" s="38" t="s">
        <v>143</v>
      </c>
      <c r="H9" s="38" t="s">
        <v>143</v>
      </c>
      <c r="I9" s="38" t="s">
        <v>143</v>
      </c>
      <c r="J9" s="38"/>
      <c r="K9" s="39"/>
      <c r="L9" s="38"/>
      <c r="M9" s="38"/>
      <c r="N9" s="38"/>
      <c r="O9" s="38"/>
      <c r="P9" s="38"/>
      <c r="Q9" s="34" t="s">
        <v>144</v>
      </c>
      <c r="R9" s="38"/>
      <c r="S9" s="38"/>
      <c r="T9" s="37" t="s">
        <v>145</v>
      </c>
      <c r="U9" s="40" t="s">
        <v>146</v>
      </c>
      <c r="V9" s="41" t="s">
        <v>147</v>
      </c>
      <c r="W9" s="14" t="s">
        <v>148</v>
      </c>
    </row>
    <row r="10" spans="1:23" ht="13" x14ac:dyDescent="0.3">
      <c r="D10" s="42" t="s">
        <v>12</v>
      </c>
      <c r="E10" s="19" t="s">
        <v>149</v>
      </c>
      <c r="F10" s="19" t="s">
        <v>12</v>
      </c>
      <c r="G10" s="19" t="s">
        <v>149</v>
      </c>
      <c r="H10" s="19" t="s">
        <v>12</v>
      </c>
      <c r="I10" s="19" t="s">
        <v>149</v>
      </c>
      <c r="J10" s="19" t="s">
        <v>12</v>
      </c>
      <c r="K10" s="43" t="s">
        <v>12</v>
      </c>
      <c r="L10" s="44" t="s">
        <v>12</v>
      </c>
      <c r="M10" s="44" t="s">
        <v>12</v>
      </c>
      <c r="N10" s="44" t="s">
        <v>12</v>
      </c>
      <c r="O10" s="44" t="s">
        <v>150</v>
      </c>
      <c r="P10" s="44" t="s">
        <v>150</v>
      </c>
      <c r="Q10" s="45" t="s">
        <v>12</v>
      </c>
      <c r="R10" s="44" t="s">
        <v>12</v>
      </c>
      <c r="S10" s="44" t="s">
        <v>150</v>
      </c>
      <c r="T10" s="46" t="s">
        <v>151</v>
      </c>
      <c r="U10" s="19" t="s">
        <v>12</v>
      </c>
      <c r="V10" s="42" t="s">
        <v>12</v>
      </c>
      <c r="W10" s="112" t="s">
        <v>152</v>
      </c>
    </row>
    <row r="11" spans="1:23" ht="14.5" x14ac:dyDescent="0.35">
      <c r="A11" s="47"/>
      <c r="B11" s="48"/>
      <c r="C11" s="49"/>
      <c r="D11" s="50"/>
      <c r="E11" s="51"/>
      <c r="F11" s="52"/>
      <c r="G11" s="51"/>
      <c r="H11" s="52"/>
      <c r="I11" s="51"/>
      <c r="J11" s="52"/>
      <c r="K11" s="53"/>
      <c r="L11" s="52"/>
      <c r="M11" s="52"/>
      <c r="N11" s="52"/>
      <c r="O11" s="52"/>
      <c r="P11" s="113"/>
      <c r="Q11" s="50"/>
      <c r="R11" s="54"/>
      <c r="S11" s="113"/>
      <c r="T11" s="114"/>
      <c r="U11" s="52"/>
      <c r="V11" s="115"/>
      <c r="W11" s="14"/>
    </row>
    <row r="12" spans="1:23" ht="14.5" x14ac:dyDescent="0.35">
      <c r="A12" s="47"/>
      <c r="B12" s="55">
        <v>2010</v>
      </c>
      <c r="C12" s="56" t="s">
        <v>153</v>
      </c>
      <c r="D12" s="57">
        <v>33345</v>
      </c>
      <c r="E12" s="58">
        <f t="shared" ref="E12:E23" si="0">+D12/T12</f>
        <v>8.0711725166228154E-2</v>
      </c>
      <c r="F12" s="59">
        <f t="shared" ref="F12:F17" si="1">+D12+U12</f>
        <v>33345</v>
      </c>
      <c r="G12" s="58">
        <f t="shared" ref="G12:G22" si="2">+F12/T12</f>
        <v>8.0711725166228154E-2</v>
      </c>
      <c r="H12" s="116">
        <v>89298</v>
      </c>
      <c r="I12" s="58">
        <f t="shared" ref="I12:I21" si="3">+H12/T12</f>
        <v>0.21614621784057106</v>
      </c>
      <c r="J12" s="60">
        <v>34529</v>
      </c>
      <c r="K12" s="61">
        <v>5658</v>
      </c>
      <c r="L12" s="57">
        <v>46503</v>
      </c>
      <c r="M12" s="60">
        <v>74514</v>
      </c>
      <c r="N12" s="60">
        <v>2462</v>
      </c>
      <c r="O12" s="62">
        <f>L12/M12</f>
        <v>0.62408406473951206</v>
      </c>
      <c r="P12" s="117">
        <f>N12/M12</f>
        <v>3.3040770861851462E-2</v>
      </c>
      <c r="Q12" s="60">
        <v>32743</v>
      </c>
      <c r="R12" s="118">
        <v>56344</v>
      </c>
      <c r="S12" s="117">
        <f t="shared" ref="S12:S23" si="4">+Q12/R12</f>
        <v>0.58112665057503909</v>
      </c>
      <c r="T12" s="119">
        <f>[3]GSP!D65</f>
        <v>413137</v>
      </c>
      <c r="U12" s="59">
        <v>0</v>
      </c>
      <c r="V12" s="120">
        <f t="shared" ref="V12:V22" si="5">+H12-J12-D12-K12</f>
        <v>15766</v>
      </c>
      <c r="W12" s="121"/>
    </row>
    <row r="13" spans="1:23" s="65" customFormat="1" ht="14.5" x14ac:dyDescent="0.35">
      <c r="A13" s="63"/>
      <c r="B13" s="55">
        <v>2011</v>
      </c>
      <c r="C13" s="121" t="s">
        <v>153</v>
      </c>
      <c r="D13" s="122">
        <v>32426</v>
      </c>
      <c r="E13" s="64">
        <f t="shared" si="0"/>
        <v>7.2893952405145249E-2</v>
      </c>
      <c r="F13" s="60">
        <f t="shared" si="1"/>
        <v>32426</v>
      </c>
      <c r="G13" s="64">
        <f t="shared" si="2"/>
        <v>7.2893952405145249E-2</v>
      </c>
      <c r="H13" s="116">
        <v>87150</v>
      </c>
      <c r="I13" s="64">
        <f t="shared" si="3"/>
        <v>0.19591401813693973</v>
      </c>
      <c r="J13" s="118">
        <v>34054</v>
      </c>
      <c r="K13" s="123">
        <v>6134</v>
      </c>
      <c r="L13" s="118">
        <v>53149</v>
      </c>
      <c r="M13" s="118">
        <v>73116</v>
      </c>
      <c r="N13" s="118">
        <v>2847</v>
      </c>
      <c r="O13" s="62">
        <f t="shared" ref="O13:O22" si="6">L13/M13</f>
        <v>0.72691339788828713</v>
      </c>
      <c r="P13" s="117">
        <f t="shared" ref="P13:P22" si="7">N13/M13</f>
        <v>3.8938125718037092E-2</v>
      </c>
      <c r="Q13" s="60">
        <v>33886</v>
      </c>
      <c r="R13" s="118">
        <v>57168</v>
      </c>
      <c r="S13" s="124">
        <f t="shared" si="4"/>
        <v>0.59274419255527566</v>
      </c>
      <c r="T13" s="119">
        <f>[3]GSP!D66</f>
        <v>444838</v>
      </c>
      <c r="U13" s="60">
        <v>0</v>
      </c>
      <c r="V13" s="125">
        <f t="shared" si="5"/>
        <v>14536</v>
      </c>
      <c r="W13" s="56"/>
    </row>
    <row r="14" spans="1:23" ht="14.5" x14ac:dyDescent="0.35">
      <c r="A14" s="47"/>
      <c r="B14" s="55">
        <v>2012</v>
      </c>
      <c r="C14" s="121" t="s">
        <v>154</v>
      </c>
      <c r="D14" s="122">
        <v>43740</v>
      </c>
      <c r="E14" s="64">
        <f t="shared" si="0"/>
        <v>9.4054604998613053E-2</v>
      </c>
      <c r="F14" s="118">
        <f t="shared" si="1"/>
        <v>43740</v>
      </c>
      <c r="G14" s="64">
        <f t="shared" si="2"/>
        <v>9.4054604998613053E-2</v>
      </c>
      <c r="H14" s="116">
        <v>124612</v>
      </c>
      <c r="I14" s="64">
        <f t="shared" si="3"/>
        <v>0.26795455962705006</v>
      </c>
      <c r="J14" s="118">
        <v>58884</v>
      </c>
      <c r="K14" s="123">
        <v>6762</v>
      </c>
      <c r="L14" s="118">
        <v>57368</v>
      </c>
      <c r="M14" s="118">
        <v>75339</v>
      </c>
      <c r="N14" s="118">
        <v>3274</v>
      </c>
      <c r="O14" s="62">
        <f t="shared" si="6"/>
        <v>0.76146484556471417</v>
      </c>
      <c r="P14" s="117">
        <f t="shared" si="7"/>
        <v>4.3456908108682094E-2</v>
      </c>
      <c r="Q14" s="60">
        <v>39510</v>
      </c>
      <c r="R14" s="118">
        <v>59003</v>
      </c>
      <c r="S14" s="124">
        <f t="shared" si="4"/>
        <v>0.66962696812026512</v>
      </c>
      <c r="T14" s="119">
        <f>[3]GSP!D67</f>
        <v>465049</v>
      </c>
      <c r="U14" s="60">
        <v>0</v>
      </c>
      <c r="V14" s="125">
        <f t="shared" si="5"/>
        <v>15226</v>
      </c>
      <c r="W14" s="56"/>
    </row>
    <row r="15" spans="1:23" ht="14.5" x14ac:dyDescent="0.35">
      <c r="A15" s="47"/>
      <c r="B15" s="55">
        <v>2013</v>
      </c>
      <c r="C15" s="121" t="s">
        <v>154</v>
      </c>
      <c r="D15" s="122">
        <v>41574</v>
      </c>
      <c r="E15" s="64">
        <f t="shared" si="0"/>
        <v>8.6505809501614669E-2</v>
      </c>
      <c r="F15" s="118">
        <f t="shared" si="1"/>
        <v>41574</v>
      </c>
      <c r="G15" s="64">
        <f t="shared" si="2"/>
        <v>8.6505809501614669E-2</v>
      </c>
      <c r="H15" s="116">
        <v>114995</v>
      </c>
      <c r="I15" s="64">
        <f t="shared" si="3"/>
        <v>0.2392778073709092</v>
      </c>
      <c r="J15" s="118">
        <v>49935</v>
      </c>
      <c r="K15" s="123">
        <v>7065</v>
      </c>
      <c r="L15" s="118">
        <v>61216</v>
      </c>
      <c r="M15" s="118">
        <v>76115</v>
      </c>
      <c r="N15" s="118">
        <v>3266</v>
      </c>
      <c r="O15" s="62">
        <f t="shared" si="6"/>
        <v>0.80425671681009003</v>
      </c>
      <c r="P15" s="117">
        <f t="shared" si="7"/>
        <v>4.2908756486894829E-2</v>
      </c>
      <c r="Q15" s="60">
        <v>45242</v>
      </c>
      <c r="R15" s="118">
        <v>60131</v>
      </c>
      <c r="S15" s="124">
        <f t="shared" si="4"/>
        <v>0.75239061382647887</v>
      </c>
      <c r="T15" s="119">
        <f>[3]GSP!D68</f>
        <v>480592</v>
      </c>
      <c r="U15" s="60">
        <v>0</v>
      </c>
      <c r="V15" s="125">
        <f t="shared" si="5"/>
        <v>16421</v>
      </c>
      <c r="W15" s="56"/>
    </row>
    <row r="16" spans="1:23" ht="14.5" x14ac:dyDescent="0.35">
      <c r="A16" s="47"/>
      <c r="B16" s="66">
        <v>2014</v>
      </c>
      <c r="C16" s="67" t="s">
        <v>155</v>
      </c>
      <c r="D16" s="126">
        <v>40363</v>
      </c>
      <c r="E16" s="64">
        <f t="shared" si="0"/>
        <v>8.1502720930467357E-2</v>
      </c>
      <c r="F16" s="118">
        <f t="shared" si="1"/>
        <v>40363</v>
      </c>
      <c r="G16" s="64">
        <f t="shared" si="2"/>
        <v>8.1502720930467357E-2</v>
      </c>
      <c r="H16" s="127">
        <v>117644</v>
      </c>
      <c r="I16" s="64">
        <f t="shared" si="3"/>
        <v>0.23755186931456784</v>
      </c>
      <c r="J16" s="128">
        <v>51040</v>
      </c>
      <c r="K16" s="129">
        <v>7825</v>
      </c>
      <c r="L16" s="118">
        <v>64589</v>
      </c>
      <c r="M16" s="128">
        <v>80815</v>
      </c>
      <c r="N16" s="128">
        <v>3392</v>
      </c>
      <c r="O16" s="62">
        <f t="shared" si="6"/>
        <v>0.79922044174967521</v>
      </c>
      <c r="P16" s="117">
        <f t="shared" si="7"/>
        <v>4.1972406112726596E-2</v>
      </c>
      <c r="Q16" s="60">
        <v>48225</v>
      </c>
      <c r="R16" s="128">
        <v>66005</v>
      </c>
      <c r="S16" s="124">
        <f t="shared" si="4"/>
        <v>0.73062646769184147</v>
      </c>
      <c r="T16" s="119">
        <f>[3]GSP!D69</f>
        <v>495235</v>
      </c>
      <c r="U16" s="60">
        <v>0</v>
      </c>
      <c r="V16" s="125">
        <f t="shared" si="5"/>
        <v>18416</v>
      </c>
      <c r="W16" s="56"/>
    </row>
    <row r="17" spans="1:23" ht="14.5" x14ac:dyDescent="0.35">
      <c r="A17" s="47"/>
      <c r="B17" s="66">
        <v>2015</v>
      </c>
      <c r="C17" s="130" t="s">
        <v>156</v>
      </c>
      <c r="D17" s="126">
        <v>45184</v>
      </c>
      <c r="E17" s="68">
        <f t="shared" si="0"/>
        <v>8.8024951832132298E-2</v>
      </c>
      <c r="F17" s="128">
        <f t="shared" si="1"/>
        <v>45184</v>
      </c>
      <c r="G17" s="68">
        <f t="shared" si="2"/>
        <v>8.8024951832132298E-2</v>
      </c>
      <c r="H17" s="127">
        <v>121381</v>
      </c>
      <c r="I17" s="68">
        <f t="shared" si="3"/>
        <v>0.23646770268980283</v>
      </c>
      <c r="J17" s="128">
        <v>55154</v>
      </c>
      <c r="K17" s="129">
        <v>8004</v>
      </c>
      <c r="L17" s="118">
        <v>64995</v>
      </c>
      <c r="M17" s="128">
        <v>84006</v>
      </c>
      <c r="N17" s="128">
        <v>3455</v>
      </c>
      <c r="O17" s="69">
        <f t="shared" si="6"/>
        <v>0.77369473609027928</v>
      </c>
      <c r="P17" s="131">
        <f t="shared" si="7"/>
        <v>4.112801466561912E-2</v>
      </c>
      <c r="Q17" s="60">
        <v>47690</v>
      </c>
      <c r="R17" s="128">
        <v>69617</v>
      </c>
      <c r="S17" s="132">
        <f t="shared" si="4"/>
        <v>0.68503382794432399</v>
      </c>
      <c r="T17" s="133">
        <f>[3]GSP!D70</f>
        <v>513309</v>
      </c>
      <c r="U17" s="70">
        <v>0</v>
      </c>
      <c r="V17" s="134">
        <f t="shared" si="5"/>
        <v>13039</v>
      </c>
      <c r="W17" s="67"/>
    </row>
    <row r="18" spans="1:23" ht="14.5" x14ac:dyDescent="0.35">
      <c r="A18" s="47"/>
      <c r="B18" s="66">
        <v>2016</v>
      </c>
      <c r="C18" s="130" t="s">
        <v>157</v>
      </c>
      <c r="D18" s="126">
        <v>38053</v>
      </c>
      <c r="E18" s="68">
        <v>7.1047423450336072E-2</v>
      </c>
      <c r="F18" s="128">
        <v>38053</v>
      </c>
      <c r="G18" s="68">
        <v>7.1047423450336072E-2</v>
      </c>
      <c r="H18" s="127">
        <v>133308</v>
      </c>
      <c r="I18" s="68">
        <v>0.24889469753547425</v>
      </c>
      <c r="J18" s="128">
        <v>71159</v>
      </c>
      <c r="K18" s="129">
        <v>8187</v>
      </c>
      <c r="L18" s="118">
        <v>65151</v>
      </c>
      <c r="M18" s="128">
        <v>87337</v>
      </c>
      <c r="N18" s="128">
        <v>3379</v>
      </c>
      <c r="O18" s="69">
        <v>0.74597249733789806</v>
      </c>
      <c r="P18" s="131">
        <v>3.8689215338287321E-2</v>
      </c>
      <c r="Q18" s="60">
        <v>45072</v>
      </c>
      <c r="R18" s="128">
        <v>73772</v>
      </c>
      <c r="S18" s="132">
        <v>0.61096350919047882</v>
      </c>
      <c r="T18" s="135">
        <v>535600</v>
      </c>
      <c r="U18" s="70">
        <v>0</v>
      </c>
      <c r="V18" s="134">
        <v>15909</v>
      </c>
      <c r="W18" s="67"/>
    </row>
    <row r="19" spans="1:23" ht="12.75" customHeight="1" x14ac:dyDescent="0.35">
      <c r="B19" s="71">
        <v>2017</v>
      </c>
      <c r="C19" s="136" t="s">
        <v>158</v>
      </c>
      <c r="D19" s="72">
        <f>VLOOKUP($D$30,'[3]TSS BS2016-2021'!$B:$I,4,FALSE)</f>
        <v>23630</v>
      </c>
      <c r="E19" s="73">
        <f t="shared" si="0"/>
        <v>4.1289533461471253E-2</v>
      </c>
      <c r="F19" s="74">
        <f t="shared" ref="F19:F22" si="8">+D19+U19</f>
        <v>23630</v>
      </c>
      <c r="G19" s="75">
        <f t="shared" si="2"/>
        <v>4.1289533461471253E-2</v>
      </c>
      <c r="H19" s="76">
        <f>VLOOKUP($H$30,'[3]TSS BS2016-2021'!$B:$I,4,FALSE)</f>
        <v>93066</v>
      </c>
      <c r="I19" s="73">
        <f t="shared" si="3"/>
        <v>0.16261750829984273</v>
      </c>
      <c r="J19" s="77">
        <f>VLOOKUP($J$30,'[3]TSS BS2016-2021'!$B:$I,4,FALSE)</f>
        <v>55996</v>
      </c>
      <c r="K19" s="78">
        <f>VLOOKUP($K$30,'[3]TSS BS2016-2021'!$B:$I,4,FALSE)</f>
        <v>8735</v>
      </c>
      <c r="L19" s="77">
        <f>VLOOKUP($L$30,'[3]TNFS BS 2016-2021'!$B:$I,4,FALSE)+VLOOKUP($L$31,'[3]TNFS BS 2016-2021'!$B:$I,4,FALSE)+VLOOKUP($L$32,'[3]TNFS BS 2016-2021'!$B:$I,4,FALSE)++VLOOKUP($L$33,'[3]TNFS BS 2016-2021'!$B:$I,4,FALSE)</f>
        <v>56196</v>
      </c>
      <c r="M19" s="77">
        <f>VLOOKUP($M$30,'[3]TNFS CF 2016-2021'!$B:$I,4,FALSE)</f>
        <v>86897</v>
      </c>
      <c r="N19" s="77">
        <f>-VLOOKUP($N$30,'[3]TNFS CF 2016-2021'!$B:$I,4,FALSE)</f>
        <v>3310</v>
      </c>
      <c r="O19" s="79">
        <f t="shared" si="6"/>
        <v>0.64669666386641655</v>
      </c>
      <c r="P19" s="137">
        <f t="shared" si="7"/>
        <v>3.8091073339701027E-2</v>
      </c>
      <c r="Q19" s="80">
        <v>53460</v>
      </c>
      <c r="R19" s="80">
        <v>77817</v>
      </c>
      <c r="S19" s="138">
        <f t="shared" si="4"/>
        <v>0.68699641466517603</v>
      </c>
      <c r="T19" s="139">
        <f>[3]GSP!E72</f>
        <v>572300</v>
      </c>
      <c r="U19" s="81"/>
      <c r="V19" s="140">
        <f t="shared" si="5"/>
        <v>4705</v>
      </c>
      <c r="W19" s="82"/>
    </row>
    <row r="20" spans="1:23" ht="12.75" customHeight="1" x14ac:dyDescent="0.35">
      <c r="B20" s="71">
        <v>2018</v>
      </c>
      <c r="C20" s="136" t="s">
        <v>158</v>
      </c>
      <c r="D20" s="72">
        <f>VLOOKUP($D$30,'[3]TSS BS2016-2021'!$B:$I,5,FALSE)</f>
        <v>37264</v>
      </c>
      <c r="E20" s="73">
        <f t="shared" si="0"/>
        <v>6.2481556002682764E-2</v>
      </c>
      <c r="F20" s="74">
        <f t="shared" si="8"/>
        <v>37264</v>
      </c>
      <c r="G20" s="75">
        <f t="shared" si="2"/>
        <v>6.2481556002682764E-2</v>
      </c>
      <c r="H20" s="76">
        <f>VLOOKUP($H$30,'[3]TSS BS2016-2021'!$B:$I,5,FALSE)</f>
        <v>100297</v>
      </c>
      <c r="I20" s="73">
        <f t="shared" si="3"/>
        <v>0.16817069081153588</v>
      </c>
      <c r="J20" s="77">
        <f>VLOOKUP($J$30,'[3]TSS BS2016-2021'!$B:$I,5,FALSE)</f>
        <v>51507</v>
      </c>
      <c r="K20" s="78">
        <f>VLOOKUP($K$30,'[3]TSS BS2016-2021'!$B:$I,5,FALSE)</f>
        <v>9314</v>
      </c>
      <c r="L20" s="77">
        <f>VLOOKUP($L$30,'[3]TNFS BS 2016-2021'!$B:$I,5,FALSE)+VLOOKUP($L$31,'[3]TNFS BS 2016-2021'!$B:$I,5,FALSE)+VLOOKUP($L$32,'[3]TNFS BS 2016-2021'!$B:$I,5,FALSE)++VLOOKUP($L$33,'[3]TNFS BS 2016-2021'!$B:$I,5,FALSE)</f>
        <v>60032</v>
      </c>
      <c r="M20" s="77">
        <f>VLOOKUP($M$30,'[3]TNFS CF 2016-2021'!$B:$I,5,FALSE)</f>
        <v>86358</v>
      </c>
      <c r="N20" s="77">
        <f>-VLOOKUP($N$30,'[3]TNFS CF 2016-2021'!$B:$I,5,FALSE)</f>
        <v>2464</v>
      </c>
      <c r="O20" s="79">
        <f t="shared" si="6"/>
        <v>0.69515273628384167</v>
      </c>
      <c r="P20" s="137">
        <f t="shared" si="7"/>
        <v>2.8532388429560667E-2</v>
      </c>
      <c r="Q20" s="80">
        <v>54697</v>
      </c>
      <c r="R20" s="80">
        <v>79581</v>
      </c>
      <c r="S20" s="138">
        <f t="shared" si="4"/>
        <v>0.68731229816162154</v>
      </c>
      <c r="T20" s="139">
        <f>[3]GSP!E73</f>
        <v>596400</v>
      </c>
      <c r="U20" s="83"/>
      <c r="V20" s="140">
        <f t="shared" si="5"/>
        <v>2212</v>
      </c>
      <c r="W20" s="84"/>
    </row>
    <row r="21" spans="1:23" ht="14.5" x14ac:dyDescent="0.35">
      <c r="B21" s="71">
        <v>2019</v>
      </c>
      <c r="C21" s="136" t="s">
        <v>158</v>
      </c>
      <c r="D21" s="72">
        <f>VLOOKUP($D$30,'[3]TSS BS2016-2021'!$B:$I,6,FALSE)</f>
        <v>48751</v>
      </c>
      <c r="E21" s="73">
        <f t="shared" si="0"/>
        <v>7.7876996805111814E-2</v>
      </c>
      <c r="F21" s="74">
        <f t="shared" si="8"/>
        <v>48751</v>
      </c>
      <c r="G21" s="75">
        <f t="shared" si="2"/>
        <v>7.7876996805111814E-2</v>
      </c>
      <c r="H21" s="76">
        <f>VLOOKUP($H$30,'[3]TSS BS2016-2021'!$B:$I,6,FALSE)</f>
        <v>108671</v>
      </c>
      <c r="I21" s="73">
        <f t="shared" si="3"/>
        <v>0.17359584664536742</v>
      </c>
      <c r="J21" s="77">
        <f>VLOOKUP($J$30,'[3]TSS BS2016-2021'!$B:$I,6,FALSE)</f>
        <v>47109</v>
      </c>
      <c r="K21" s="78">
        <f>VLOOKUP($K$30,'[3]TSS BS2016-2021'!$B:$I,6,FALSE)</f>
        <v>9889</v>
      </c>
      <c r="L21" s="77">
        <f>VLOOKUP($L$30,'[3]TNFS BS 2016-2021'!$B:$I,6,FALSE)+VLOOKUP($L$31,'[3]TNFS BS 2016-2021'!$B:$I,6,FALSE)+VLOOKUP($L$32,'[3]TNFS BS 2016-2021'!$B:$I,6,FALSE)++VLOOKUP($L$33,'[3]TNFS BS 2016-2021'!$B:$I,6,FALSE)</f>
        <v>68671</v>
      </c>
      <c r="M21" s="77">
        <f>VLOOKUP($M$30,'[3]TNFS CF 2016-2021'!$B:$I,6,FALSE)</f>
        <v>85956</v>
      </c>
      <c r="N21" s="77">
        <f>-VLOOKUP($N$30,'[3]TNFS CF 2016-2021'!$B:$I,6,FALSE)</f>
        <v>2608</v>
      </c>
      <c r="O21" s="79">
        <f t="shared" si="6"/>
        <v>0.79890874400856249</v>
      </c>
      <c r="P21" s="137">
        <f t="shared" si="7"/>
        <v>3.034110475126809E-2</v>
      </c>
      <c r="Q21" s="80">
        <v>61575</v>
      </c>
      <c r="R21" s="80">
        <v>80111</v>
      </c>
      <c r="S21" s="138">
        <f t="shared" si="4"/>
        <v>0.76862103830934581</v>
      </c>
      <c r="T21" s="139">
        <f>[3]GSP!E74</f>
        <v>626000</v>
      </c>
      <c r="U21" s="83"/>
      <c r="V21" s="140">
        <f t="shared" si="5"/>
        <v>2922</v>
      </c>
      <c r="W21" s="84"/>
    </row>
    <row r="22" spans="1:23" ht="14.5" x14ac:dyDescent="0.35">
      <c r="B22" s="71">
        <v>2020</v>
      </c>
      <c r="C22" s="136" t="s">
        <v>158</v>
      </c>
      <c r="D22" s="72">
        <f>VLOOKUP($D$30,'[3]TSS BS2016-2021'!$B:$I,7,FALSE)</f>
        <v>54678</v>
      </c>
      <c r="E22" s="73">
        <f t="shared" si="0"/>
        <v>8.3211078983411957E-2</v>
      </c>
      <c r="F22" s="74">
        <f t="shared" si="8"/>
        <v>54678</v>
      </c>
      <c r="G22" s="75">
        <f t="shared" si="2"/>
        <v>8.3211078983411957E-2</v>
      </c>
      <c r="H22" s="76">
        <f>VLOOKUP($H$30,'[3]TSS BS2016-2021'!$B:$I,7,FALSE)</f>
        <v>111060</v>
      </c>
      <c r="I22" s="73">
        <f>+H22/T22</f>
        <v>0.16901537056764571</v>
      </c>
      <c r="J22" s="77">
        <f>VLOOKUP($J$30,'[3]TSS BS2016-2021'!$B:$I,7,FALSE)</f>
        <v>42971</v>
      </c>
      <c r="K22" s="78">
        <f>VLOOKUP($K$30,'[3]TSS BS2016-2021'!$B:$I,7,FALSE)</f>
        <v>10561</v>
      </c>
      <c r="L22" s="77">
        <f>VLOOKUP($L$30,'[3]TNFS BS 2016-2021'!$B:$I,7,FALSE)+VLOOKUP($L$31,'[3]TNFS BS 2016-2021'!$B:$I,7,FALSE)+VLOOKUP($L$32,'[3]TNFS BS 2016-2021'!$B:$I,7,FALSE)++VLOOKUP($L$33,'[3]TNFS BS 2016-2021'!$B:$I,7,FALSE)</f>
        <v>75408</v>
      </c>
      <c r="M22" s="77">
        <f>VLOOKUP($M$30,'[3]TNFS CF 2016-2021'!$B:$I,7,FALSE)</f>
        <v>87954</v>
      </c>
      <c r="N22" s="77">
        <f>-VLOOKUP($N$30,'[3]TNFS CF 2016-2021'!$B:$I,7,FALSE)</f>
        <v>2967</v>
      </c>
      <c r="O22" s="79">
        <f t="shared" si="6"/>
        <v>0.85735725492871273</v>
      </c>
      <c r="P22" s="137">
        <f t="shared" si="7"/>
        <v>3.3733542533597109E-2</v>
      </c>
      <c r="Q22" s="80">
        <v>67193</v>
      </c>
      <c r="R22" s="80">
        <v>82316</v>
      </c>
      <c r="S22" s="138">
        <f t="shared" si="4"/>
        <v>0.81628116040623933</v>
      </c>
      <c r="T22" s="139">
        <f>[3]GSP!E75</f>
        <v>657100</v>
      </c>
      <c r="U22" s="83"/>
      <c r="V22" s="140">
        <f t="shared" si="5"/>
        <v>2850</v>
      </c>
      <c r="W22" s="84"/>
    </row>
    <row r="23" spans="1:23" ht="14.5" x14ac:dyDescent="0.35">
      <c r="B23" s="71">
        <v>2021</v>
      </c>
      <c r="C23" s="136" t="s">
        <v>158</v>
      </c>
      <c r="D23" s="72">
        <f>VLOOKUP($D$30,'[3]TSS BS2016-2021'!$B:$I,8,FALSE)</f>
        <v>58419</v>
      </c>
      <c r="E23" s="73">
        <f t="shared" si="0"/>
        <v>8.8904276365849952E-2</v>
      </c>
      <c r="F23" s="74"/>
      <c r="G23" s="75"/>
      <c r="H23" s="76">
        <f>VLOOKUP($H$30,'[3]TSS BS2016-2021'!$B:$I,8,FALSE)</f>
        <v>113174</v>
      </c>
      <c r="I23" s="73">
        <f>+H23/T23</f>
        <v>0.17223253690458074</v>
      </c>
      <c r="J23" s="77">
        <f>VLOOKUP($J$30,'[3]TSS BS2016-2021'!$B:$I,8,FALSE)</f>
        <v>41199</v>
      </c>
      <c r="K23" s="78">
        <f>VLOOKUP($K$30,'[3]TSS BS2016-2021'!$B:$I,8,FALSE)</f>
        <v>11292</v>
      </c>
      <c r="L23" s="77">
        <f>VLOOKUP($L$30,'[3]TNFS BS 2016-2021'!$B:$I,8,FALSE)+VLOOKUP($L$31,'[3]TNFS BS 2016-2021'!$B:$I,8,FALSE)+VLOOKUP($L$32,'[3]TNFS BS 2016-2021'!$B:$I,8,FALSE)++VLOOKUP($L$33,'[3]TNFS BS 2016-2021'!$B:$I,8,FALSE)</f>
        <v>78712</v>
      </c>
      <c r="M23" s="77">
        <f>VLOOKUP($M$30,'[3]TNFS CF 2016-2021'!$B:$I,8,FALSE)</f>
        <v>90498</v>
      </c>
      <c r="N23" s="77">
        <f>-VLOOKUP($N$30,'[3]TNFS CF 2016-2021'!$B:$I,8,FALSE)</f>
        <v>3100</v>
      </c>
      <c r="O23" s="79">
        <f>L23/M23</f>
        <v>0.86976507768127476</v>
      </c>
      <c r="P23" s="137">
        <f>N23/M23</f>
        <v>3.4254900660788082E-2</v>
      </c>
      <c r="Q23" s="80">
        <v>69313</v>
      </c>
      <c r="R23" s="80">
        <v>83655</v>
      </c>
      <c r="S23" s="138">
        <f t="shared" si="4"/>
        <v>0.8285577670193055</v>
      </c>
      <c r="T23" s="141">
        <f>T22</f>
        <v>657100</v>
      </c>
      <c r="U23" s="83"/>
      <c r="V23" s="140"/>
      <c r="W23" s="84"/>
    </row>
    <row r="24" spans="1:23" x14ac:dyDescent="0.25">
      <c r="B24" s="85"/>
      <c r="T24" s="14"/>
      <c r="U24" s="14"/>
    </row>
    <row r="25" spans="1:23" x14ac:dyDescent="0.25">
      <c r="B25" s="85"/>
    </row>
    <row r="26" spans="1:23" x14ac:dyDescent="0.25">
      <c r="B26" s="85"/>
    </row>
    <row r="27" spans="1:23" x14ac:dyDescent="0.25">
      <c r="B27" s="85"/>
    </row>
    <row r="28" spans="1:23" x14ac:dyDescent="0.25">
      <c r="B28" s="85"/>
    </row>
    <row r="29" spans="1:23" ht="13" hidden="1" outlineLevel="1" x14ac:dyDescent="0.3">
      <c r="D29" s="32"/>
      <c r="E29" s="32"/>
    </row>
    <row r="30" spans="1:23" s="65" customFormat="1" ht="13" hidden="1" outlineLevel="1" x14ac:dyDescent="0.3">
      <c r="B30" s="86"/>
      <c r="D30" s="65" t="s">
        <v>159</v>
      </c>
      <c r="E30" s="87"/>
      <c r="H30" s="65" t="s">
        <v>160</v>
      </c>
      <c r="J30" s="65" t="s">
        <v>161</v>
      </c>
      <c r="K30" s="65" t="s">
        <v>162</v>
      </c>
      <c r="L30" s="65" t="s">
        <v>163</v>
      </c>
      <c r="M30" s="88" t="s">
        <v>164</v>
      </c>
      <c r="N30" s="88" t="s">
        <v>165</v>
      </c>
      <c r="R30" s="65" t="s">
        <v>93</v>
      </c>
    </row>
    <row r="31" spans="1:23" ht="13" hidden="1" outlineLevel="1" x14ac:dyDescent="0.3">
      <c r="B31" s="21"/>
      <c r="D31" s="32"/>
      <c r="E31" s="32"/>
      <c r="J31" s="89"/>
      <c r="K31" s="89"/>
      <c r="L31" s="65" t="s">
        <v>166</v>
      </c>
    </row>
    <row r="32" spans="1:23" hidden="1" outlineLevel="1" x14ac:dyDescent="0.25">
      <c r="C32" s="90"/>
      <c r="L32" s="65" t="s">
        <v>167</v>
      </c>
    </row>
    <row r="33" spans="4:12" hidden="1" outlineLevel="1" x14ac:dyDescent="0.25">
      <c r="L33" s="65" t="s">
        <v>168</v>
      </c>
    </row>
    <row r="34" spans="4:12" hidden="1" outlineLevel="1" x14ac:dyDescent="0.25"/>
    <row r="35" spans="4:12" collapsed="1" x14ac:dyDescent="0.25">
      <c r="D35" s="89"/>
    </row>
    <row r="36" spans="4:12" x14ac:dyDescent="0.25">
      <c r="D36" s="89"/>
    </row>
    <row r="37" spans="4:12" x14ac:dyDescent="0.25">
      <c r="D37" s="89"/>
    </row>
    <row r="38" spans="4:12" x14ac:dyDescent="0.25">
      <c r="D38" s="89"/>
    </row>
    <row r="39" spans="4:12" x14ac:dyDescent="0.25">
      <c r="D39" s="89"/>
    </row>
  </sheetData>
  <mergeCells count="1">
    <mergeCell ref="L3:P3"/>
  </mergeCells>
  <printOptions gridLines="1"/>
  <pageMargins left="0.74803149606299213" right="0.35433070866141736" top="0.98425196850393704" bottom="0.98425196850393704" header="0.51181102362204722" footer="0.51181102362204722"/>
  <pageSetup paperSize="8" scale="60" orientation="landscape" r:id="rId1"/>
  <headerFooter alignWithMargins="0">
    <oddHeader>&amp;R&amp;P of &amp;N</oddHeader>
    <oddFooter>&amp;L&amp;Z&amp;F&amp;R&amp;A                                            &amp;D &amp;T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c478e85-8130-4c67-8ee4-8bdf1c0e6049" xsi:nil="true"/>
    <SharedWithUsers xmlns="801a5968-9419-4033-b9de-7ffe8168468e">
      <UserInfo>
        <DisplayName>Darcy Rendalls</DisplayName>
        <AccountId>146</AccountId>
        <AccountType/>
      </UserInfo>
      <UserInfo>
        <DisplayName>Matthew Wilks</DisplayName>
        <AccountId>86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2F16F1AFBDE54EBD2685E90FE1922F" ma:contentTypeVersion="13" ma:contentTypeDescription="Create a new document." ma:contentTypeScope="" ma:versionID="aa9454f501cc4f443e6d2a358128cbdb">
  <xsd:schema xmlns:xsd="http://www.w3.org/2001/XMLSchema" xmlns:xs="http://www.w3.org/2001/XMLSchema" xmlns:p="http://schemas.microsoft.com/office/2006/metadata/properties" xmlns:ns2="801a5968-9419-4033-b9de-7ffe8168468e" xmlns:ns3="1c478e85-8130-4c67-8ee4-8bdf1c0e6049" targetNamespace="http://schemas.microsoft.com/office/2006/metadata/properties" ma:root="true" ma:fieldsID="c4ef26c785574217d699266b2fdd00a6" ns2:_="" ns3:_="">
    <xsd:import namespace="801a5968-9419-4033-b9de-7ffe8168468e"/>
    <xsd:import namespace="1c478e85-8130-4c67-8ee4-8bdf1c0e604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_Flow_SignoffStatu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a5968-9419-4033-b9de-7ffe816846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478e85-8130-4c67-8ee4-8bdf1c0e6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C2EC6F-1CD8-4C30-A213-565DBC9320F5}">
  <ds:schemaRefs>
    <ds:schemaRef ds:uri="1c478e85-8130-4c67-8ee4-8bdf1c0e6049"/>
    <ds:schemaRef ds:uri="http://purl.org/dc/terms/"/>
    <ds:schemaRef ds:uri="http://www.w3.org/XML/1998/namespace"/>
    <ds:schemaRef ds:uri="http://schemas.microsoft.com/office/2006/documentManagement/types"/>
    <ds:schemaRef ds:uri="801a5968-9419-4033-b9de-7ffe8168468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C61647-F652-468C-A84C-012FF5A080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70B7C4-DE61-4F67-83F2-DB0DF19409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a5968-9419-4033-b9de-7ffe8168468e"/>
    <ds:schemaRef ds:uri="1c478e85-8130-4c67-8ee4-8bdf1c0e60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Introduction</vt:lpstr>
      <vt:lpstr>GG Op. State. Aggreg.</vt:lpstr>
      <vt:lpstr>GG Balance Sheet Fin Indicators</vt:lpstr>
      <vt:lpstr>NFPS Op. State. Aggreg.</vt:lpstr>
      <vt:lpstr>NFPS Bal. Sheet. Fin Ind</vt:lpstr>
      <vt:lpstr>Sheet2</vt:lpstr>
      <vt:lpstr>Moody's Metric</vt:lpstr>
      <vt:lpstr>S&amp;P Metrics</vt:lpstr>
      <vt:lpstr>Introduction!Print_Area</vt:lpstr>
      <vt:lpstr>'Moody''s Metric'!Print_Area</vt:lpstr>
      <vt:lpstr>'S&amp;P Metrics'!Print_Area</vt:lpstr>
    </vt:vector>
  </TitlesOfParts>
  <Manager/>
  <Company>ServiceFirst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Moreno</dc:creator>
  <cp:keywords/>
  <dc:description/>
  <cp:lastModifiedBy>Shannon Colman</cp:lastModifiedBy>
  <cp:revision/>
  <dcterms:created xsi:type="dcterms:W3CDTF">2017-05-12T06:52:18Z</dcterms:created>
  <dcterms:modified xsi:type="dcterms:W3CDTF">2021-06-21T05:53:01Z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0x010100F02F16F1AFBDE54EBD2685E90FE1922F</vt:lpwstr>
  </property>
</Properties>
</file>